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7eff8a108ad07ff/Documents/The BNIC Network LLC/Real Estate/Project Manager Resources/"/>
    </mc:Choice>
  </mc:AlternateContent>
  <xr:revisionPtr revIDLastSave="50" documentId="8_{EDF0658E-C487-4547-9FF1-53F1B5401ECD}" xr6:coauthVersionLast="47" xr6:coauthVersionMax="47" xr10:uidLastSave="{080CA269-6AC9-40A6-9C22-646210DA3713}"/>
  <bookViews>
    <workbookView xWindow="-120" yWindow="-120" windowWidth="20730" windowHeight="11040" tabRatio="815" xr2:uid="{00000000-000D-0000-FFFF-FFFF00000000}"/>
  </bookViews>
  <sheets>
    <sheet name="Data Entry" sheetId="18" r:id="rId1"/>
    <sheet name="Summary" sheetId="17" state="veryHidden" r:id="rId2"/>
    <sheet name="Purchase &amp; Flip" sheetId="13" state="veryHidden" r:id="rId3"/>
    <sheet name="Buy and Hold Rental" sheetId="16" state="veryHidden" r:id="rId4"/>
    <sheet name="Sale to Retail Investor" sheetId="19" state="veryHidden" r:id="rId5"/>
    <sheet name="Comps" sheetId="14" r:id="rId6"/>
    <sheet name="Amort Schedule - Flip" sheetId="5" state="veryHidden" r:id="rId7"/>
    <sheet name="Amort Schedule - Investor" sheetId="20" state="veryHidden" r:id="rId8"/>
    <sheet name="Data Validation" sheetId="21" state="veryHidden" r:id="rId9"/>
  </sheets>
  <definedNames>
    <definedName name="_xlnm.Print_Area" localSheetId="3">'Buy and Hold Rental'!$A$1:$M$73</definedName>
    <definedName name="_xlnm.Print_Area" localSheetId="2">'Purchase &amp; Flip'!$A$1:$L$59</definedName>
    <definedName name="_xlnm.Print_Area" localSheetId="4">'Sale to Retail Investor'!$A$1:$M$72</definedName>
    <definedName name="_xlnm.Print_Area" localSheetId="1">Summary!$A$1:$L$40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8" l="1"/>
  <c r="B2" i="13" s="1"/>
  <c r="B6" i="17" s="1"/>
  <c r="B27" i="13"/>
  <c r="B4" i="18"/>
  <c r="C31" i="13" s="1"/>
  <c r="C39" i="13" s="1"/>
  <c r="C4" i="19"/>
  <c r="B6" i="18"/>
  <c r="B1" i="17"/>
  <c r="C20" i="13"/>
  <c r="B20" i="13"/>
  <c r="B1" i="13"/>
  <c r="C5" i="13"/>
  <c r="D2" i="5"/>
  <c r="D3" i="5"/>
  <c r="D2" i="20"/>
  <c r="E1" i="20"/>
  <c r="C23" i="16"/>
  <c r="C26" i="16"/>
  <c r="C22" i="19"/>
  <c r="C12" i="19"/>
  <c r="B12" i="19"/>
  <c r="B14" i="19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75" i="20"/>
  <c r="A76" i="20"/>
  <c r="A77" i="20"/>
  <c r="A78" i="20"/>
  <c r="A79" i="20"/>
  <c r="A80" i="20"/>
  <c r="A81" i="20"/>
  <c r="A82" i="20"/>
  <c r="A83" i="20"/>
  <c r="A84" i="20"/>
  <c r="A85" i="20"/>
  <c r="A86" i="20"/>
  <c r="A87" i="20"/>
  <c r="A88" i="20"/>
  <c r="A89" i="20"/>
  <c r="A90" i="20"/>
  <c r="A91" i="20"/>
  <c r="A92" i="20"/>
  <c r="A93" i="20"/>
  <c r="A94" i="20"/>
  <c r="A95" i="20"/>
  <c r="A96" i="20"/>
  <c r="A97" i="20"/>
  <c r="A98" i="20"/>
  <c r="A99" i="20"/>
  <c r="A100" i="20"/>
  <c r="A101" i="20"/>
  <c r="A102" i="20"/>
  <c r="A103" i="20"/>
  <c r="A104" i="20"/>
  <c r="A105" i="20"/>
  <c r="A106" i="20"/>
  <c r="A107" i="20"/>
  <c r="A108" i="20"/>
  <c r="A109" i="20"/>
  <c r="A110" i="20"/>
  <c r="A111" i="20"/>
  <c r="A112" i="20"/>
  <c r="A113" i="20"/>
  <c r="A114" i="20"/>
  <c r="A115" i="20"/>
  <c r="A116" i="20"/>
  <c r="A117" i="20"/>
  <c r="A118" i="20"/>
  <c r="A119" i="20"/>
  <c r="A120" i="20"/>
  <c r="A121" i="20"/>
  <c r="A122" i="20"/>
  <c r="A123" i="20"/>
  <c r="A124" i="20"/>
  <c r="A125" i="20"/>
  <c r="A126" i="20"/>
  <c r="A127" i="20"/>
  <c r="A128" i="20"/>
  <c r="A129" i="20"/>
  <c r="A130" i="20"/>
  <c r="A131" i="20"/>
  <c r="A132" i="20"/>
  <c r="A133" i="20"/>
  <c r="A134" i="20"/>
  <c r="A135" i="20"/>
  <c r="A136" i="20"/>
  <c r="A137" i="20"/>
  <c r="A138" i="20"/>
  <c r="A139" i="20"/>
  <c r="A140" i="20"/>
  <c r="A141" i="20"/>
  <c r="A142" i="20"/>
  <c r="A143" i="20"/>
  <c r="A144" i="20"/>
  <c r="A145" i="20"/>
  <c r="A146" i="20"/>
  <c r="A147" i="20"/>
  <c r="A148" i="20"/>
  <c r="A149" i="20"/>
  <c r="A150" i="20"/>
  <c r="A151" i="20"/>
  <c r="A152" i="20"/>
  <c r="A153" i="20"/>
  <c r="A154" i="20"/>
  <c r="A155" i="20"/>
  <c r="A156" i="20"/>
  <c r="A157" i="20"/>
  <c r="A158" i="20"/>
  <c r="A159" i="20"/>
  <c r="A160" i="20"/>
  <c r="A161" i="20"/>
  <c r="A162" i="20"/>
  <c r="A163" i="20"/>
  <c r="A164" i="20"/>
  <c r="A165" i="20"/>
  <c r="A166" i="20"/>
  <c r="A167" i="20"/>
  <c r="A168" i="20"/>
  <c r="A169" i="20"/>
  <c r="A170" i="20"/>
  <c r="A171" i="20"/>
  <c r="A172" i="20"/>
  <c r="A173" i="20"/>
  <c r="A174" i="20"/>
  <c r="A175" i="20"/>
  <c r="A176" i="20"/>
  <c r="A177" i="20"/>
  <c r="A178" i="20"/>
  <c r="A179" i="20"/>
  <c r="A180" i="20"/>
  <c r="A181" i="20"/>
  <c r="A182" i="20"/>
  <c r="A183" i="20"/>
  <c r="A184" i="20"/>
  <c r="A185" i="20"/>
  <c r="A186" i="20"/>
  <c r="A187" i="20"/>
  <c r="A188" i="20"/>
  <c r="A189" i="20"/>
  <c r="A190" i="20"/>
  <c r="A191" i="20"/>
  <c r="A192" i="20"/>
  <c r="A193" i="20"/>
  <c r="A194" i="20"/>
  <c r="A195" i="20"/>
  <c r="A196" i="20"/>
  <c r="A197" i="20"/>
  <c r="A198" i="20"/>
  <c r="A199" i="20"/>
  <c r="A200" i="20"/>
  <c r="A201" i="20"/>
  <c r="A202" i="20"/>
  <c r="A203" i="20"/>
  <c r="A204" i="20"/>
  <c r="A205" i="20"/>
  <c r="A206" i="20"/>
  <c r="A207" i="20"/>
  <c r="A208" i="20"/>
  <c r="A209" i="20"/>
  <c r="A210" i="20"/>
  <c r="A211" i="20"/>
  <c r="A212" i="20"/>
  <c r="A213" i="20"/>
  <c r="A214" i="20"/>
  <c r="A215" i="20"/>
  <c r="A216" i="20"/>
  <c r="A217" i="20"/>
  <c r="A218" i="20"/>
  <c r="A219" i="20"/>
  <c r="A220" i="20"/>
  <c r="A221" i="20"/>
  <c r="A222" i="20"/>
  <c r="A223" i="20"/>
  <c r="A224" i="20"/>
  <c r="A225" i="20"/>
  <c r="A226" i="20"/>
  <c r="A227" i="20"/>
  <c r="A228" i="20"/>
  <c r="A229" i="20"/>
  <c r="A230" i="20"/>
  <c r="A231" i="20"/>
  <c r="A232" i="20"/>
  <c r="A233" i="20"/>
  <c r="A234" i="20"/>
  <c r="A235" i="20"/>
  <c r="A236" i="20"/>
  <c r="A237" i="20"/>
  <c r="A238" i="20"/>
  <c r="A239" i="20"/>
  <c r="A240" i="20"/>
  <c r="A241" i="20"/>
  <c r="A242" i="20"/>
  <c r="A243" i="20"/>
  <c r="A244" i="20"/>
  <c r="A245" i="20"/>
  <c r="A246" i="20"/>
  <c r="A247" i="20"/>
  <c r="A248" i="20"/>
  <c r="A249" i="20"/>
  <c r="A250" i="20"/>
  <c r="A251" i="20"/>
  <c r="A252" i="20"/>
  <c r="A253" i="20"/>
  <c r="A254" i="20"/>
  <c r="A255" i="20"/>
  <c r="A256" i="20"/>
  <c r="A257" i="20"/>
  <c r="A258" i="20"/>
  <c r="A259" i="20"/>
  <c r="A260" i="20"/>
  <c r="A261" i="20"/>
  <c r="A262" i="20"/>
  <c r="A263" i="20"/>
  <c r="A264" i="20"/>
  <c r="A265" i="20"/>
  <c r="A266" i="20"/>
  <c r="A267" i="20"/>
  <c r="A268" i="20"/>
  <c r="A269" i="20"/>
  <c r="A270" i="20"/>
  <c r="A271" i="20"/>
  <c r="A272" i="20"/>
  <c r="A273" i="20"/>
  <c r="A274" i="20"/>
  <c r="A275" i="20"/>
  <c r="A276" i="20"/>
  <c r="A277" i="20"/>
  <c r="A278" i="20"/>
  <c r="A279" i="20"/>
  <c r="A280" i="20"/>
  <c r="A281" i="20"/>
  <c r="A282" i="20"/>
  <c r="A283" i="20"/>
  <c r="A284" i="20"/>
  <c r="A285" i="20"/>
  <c r="A286" i="20"/>
  <c r="A287" i="20"/>
  <c r="A288" i="20"/>
  <c r="A289" i="20"/>
  <c r="A290" i="20"/>
  <c r="A291" i="20"/>
  <c r="A292" i="20"/>
  <c r="A293" i="20"/>
  <c r="A294" i="20"/>
  <c r="A295" i="20"/>
  <c r="A296" i="20"/>
  <c r="A297" i="20"/>
  <c r="A298" i="20"/>
  <c r="A299" i="20"/>
  <c r="A300" i="20"/>
  <c r="A301" i="20"/>
  <c r="A302" i="20"/>
  <c r="A303" i="20"/>
  <c r="A304" i="20"/>
  <c r="A305" i="20"/>
  <c r="A306" i="20"/>
  <c r="A307" i="20"/>
  <c r="A308" i="20"/>
  <c r="A309" i="20"/>
  <c r="A310" i="20"/>
  <c r="A311" i="20"/>
  <c r="A312" i="20"/>
  <c r="A313" i="20"/>
  <c r="A314" i="20"/>
  <c r="A315" i="20"/>
  <c r="A316" i="20"/>
  <c r="A317" i="20"/>
  <c r="A318" i="20"/>
  <c r="A319" i="20"/>
  <c r="A320" i="20"/>
  <c r="A321" i="20"/>
  <c r="A322" i="20"/>
  <c r="A323" i="20"/>
  <c r="A324" i="20"/>
  <c r="A325" i="20"/>
  <c r="A326" i="20"/>
  <c r="A327" i="20"/>
  <c r="A328" i="20"/>
  <c r="A329" i="20"/>
  <c r="A330" i="20"/>
  <c r="A331" i="20"/>
  <c r="A332" i="20"/>
  <c r="A333" i="20"/>
  <c r="A334" i="20"/>
  <c r="A335" i="20"/>
  <c r="A336" i="20"/>
  <c r="A337" i="20"/>
  <c r="A338" i="20"/>
  <c r="A339" i="20"/>
  <c r="A340" i="20"/>
  <c r="A341" i="20"/>
  <c r="A342" i="20"/>
  <c r="A343" i="20"/>
  <c r="A344" i="20"/>
  <c r="A345" i="20"/>
  <c r="A346" i="20"/>
  <c r="A347" i="20"/>
  <c r="A348" i="20"/>
  <c r="A349" i="20"/>
  <c r="A350" i="20"/>
  <c r="A351" i="20"/>
  <c r="A352" i="20"/>
  <c r="A353" i="20"/>
  <c r="A354" i="20"/>
  <c r="A355" i="20"/>
  <c r="A356" i="20"/>
  <c r="A357" i="20"/>
  <c r="A358" i="20"/>
  <c r="A359" i="20"/>
  <c r="A360" i="20"/>
  <c r="A361" i="20"/>
  <c r="A362" i="20"/>
  <c r="A363" i="20"/>
  <c r="A364" i="20"/>
  <c r="A6" i="20"/>
  <c r="A7" i="20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B30" i="19"/>
  <c r="C11" i="19"/>
  <c r="B11" i="19"/>
  <c r="D10" i="19"/>
  <c r="B7" i="19"/>
  <c r="D3" i="20"/>
  <c r="F4" i="19"/>
  <c r="F3" i="19"/>
  <c r="C4" i="16"/>
  <c r="L6" i="13"/>
  <c r="K6" i="16"/>
  <c r="K6" i="13"/>
  <c r="J6" i="19"/>
  <c r="J6" i="13"/>
  <c r="I6" i="16"/>
  <c r="I6" i="13"/>
  <c r="H6" i="19"/>
  <c r="H6" i="13"/>
  <c r="G6" i="13"/>
  <c r="F6" i="19"/>
  <c r="A1" i="17"/>
  <c r="G1" i="13"/>
  <c r="F1" i="16"/>
  <c r="B31" i="16"/>
  <c r="F2" i="16"/>
  <c r="F3" i="16"/>
  <c r="F4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B15" i="16"/>
  <c r="C11" i="16"/>
  <c r="D10" i="16"/>
  <c r="B8" i="16"/>
  <c r="B7" i="16"/>
  <c r="B6" i="16"/>
  <c r="H6" i="16"/>
  <c r="F6" i="16"/>
  <c r="E2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B11" i="16"/>
  <c r="C16" i="19"/>
  <c r="F1" i="19"/>
  <c r="F2" i="19"/>
  <c r="G6" i="16"/>
  <c r="G6" i="19"/>
  <c r="F31" i="19"/>
  <c r="B38" i="16"/>
  <c r="F32" i="16"/>
  <c r="B18" i="16"/>
  <c r="B24" i="17"/>
  <c r="B1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54" i="16"/>
  <c r="M55" i="16"/>
  <c r="M56" i="16"/>
  <c r="M57" i="16"/>
  <c r="M58" i="16"/>
  <c r="M59" i="16"/>
  <c r="M60" i="16"/>
  <c r="M61" i="16"/>
  <c r="M62" i="16"/>
  <c r="M63" i="16"/>
  <c r="M64" i="16"/>
  <c r="M65" i="16"/>
  <c r="M66" i="16"/>
  <c r="M67" i="16"/>
  <c r="M68" i="16"/>
  <c r="B39" i="16"/>
  <c r="B40" i="16"/>
  <c r="B41" i="16"/>
  <c r="B42" i="16"/>
  <c r="B43" i="16"/>
  <c r="B44" i="16"/>
  <c r="J6" i="16"/>
  <c r="I6" i="19"/>
  <c r="K6" i="19"/>
  <c r="C12" i="16"/>
  <c r="B12" i="16"/>
  <c r="B42" i="13"/>
  <c r="B44" i="13"/>
  <c r="C2" i="13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C25" i="19"/>
  <c r="B18" i="19"/>
  <c r="A10" i="18"/>
  <c r="C27" i="16"/>
  <c r="J38" i="16"/>
  <c r="B26" i="13"/>
  <c r="B1" i="19"/>
  <c r="J41" i="16"/>
  <c r="J39" i="16"/>
  <c r="J40" i="16"/>
  <c r="J42" i="16"/>
  <c r="J51" i="16"/>
  <c r="J44" i="16"/>
  <c r="J45" i="16"/>
  <c r="J55" i="16"/>
  <c r="J56" i="16"/>
  <c r="J48" i="16"/>
  <c r="J60" i="16"/>
  <c r="J46" i="16"/>
  <c r="J63" i="16"/>
  <c r="J50" i="16"/>
  <c r="J54" i="16"/>
  <c r="J59" i="16"/>
  <c r="J43" i="16"/>
  <c r="J47" i="16"/>
  <c r="J61" i="16"/>
  <c r="J64" i="16"/>
  <c r="J65" i="16"/>
  <c r="J58" i="16"/>
  <c r="J49" i="16"/>
  <c r="J52" i="16"/>
  <c r="J57" i="16"/>
  <c r="J53" i="16"/>
  <c r="J62" i="16"/>
  <c r="J66" i="16"/>
  <c r="B3" i="19"/>
  <c r="C3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67" i="19"/>
  <c r="C26" i="19"/>
  <c r="C26" i="13"/>
  <c r="B13" i="16"/>
  <c r="B67" i="16"/>
  <c r="J67" i="16"/>
  <c r="B68" i="16"/>
  <c r="J68" i="16"/>
  <c r="B10" i="19"/>
  <c r="C10" i="19"/>
  <c r="F37" i="19"/>
  <c r="B4" i="19"/>
  <c r="B5" i="19"/>
  <c r="C13" i="16"/>
  <c r="B13" i="19"/>
  <c r="G7" i="19"/>
  <c r="G15" i="19"/>
  <c r="B8" i="19"/>
  <c r="D1" i="20"/>
  <c r="C13" i="19"/>
  <c r="D37" i="19"/>
  <c r="D13" i="19"/>
  <c r="F38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F51" i="19"/>
  <c r="F52" i="19"/>
  <c r="F53" i="19"/>
  <c r="F54" i="19"/>
  <c r="F55" i="19"/>
  <c r="F56" i="19"/>
  <c r="F57" i="19"/>
  <c r="F58" i="19"/>
  <c r="F59" i="19"/>
  <c r="F60" i="19"/>
  <c r="F61" i="19"/>
  <c r="F62" i="19"/>
  <c r="F63" i="19"/>
  <c r="F64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F67" i="19"/>
  <c r="F32" i="19"/>
  <c r="C95" i="20"/>
  <c r="D188" i="20"/>
  <c r="D199" i="20"/>
  <c r="D201" i="20"/>
  <c r="C254" i="20"/>
  <c r="D152" i="20"/>
  <c r="D159" i="20"/>
  <c r="D248" i="20"/>
  <c r="C158" i="20"/>
  <c r="C77" i="20"/>
  <c r="D181" i="20"/>
  <c r="C142" i="20"/>
  <c r="D123" i="20"/>
  <c r="D205" i="20"/>
  <c r="C325" i="20"/>
  <c r="C153" i="20"/>
  <c r="D70" i="20"/>
  <c r="C214" i="20"/>
  <c r="C265" i="20"/>
  <c r="D239" i="20"/>
  <c r="C13" i="20"/>
  <c r="C284" i="20"/>
  <c r="D350" i="20"/>
  <c r="C287" i="20"/>
  <c r="D51" i="20"/>
  <c r="C70" i="20"/>
  <c r="C359" i="20"/>
  <c r="D225" i="20"/>
  <c r="C318" i="20"/>
  <c r="C22" i="20"/>
  <c r="D47" i="20"/>
  <c r="C51" i="20"/>
  <c r="C336" i="20"/>
  <c r="C149" i="20"/>
  <c r="C259" i="20"/>
  <c r="C264" i="20"/>
  <c r="D29" i="20"/>
  <c r="C364" i="20"/>
  <c r="D262" i="20"/>
  <c r="C63" i="20"/>
  <c r="C295" i="20"/>
  <c r="C163" i="20"/>
  <c r="D219" i="20"/>
  <c r="C43" i="20"/>
  <c r="C178" i="20"/>
  <c r="D95" i="20"/>
  <c r="C62" i="20"/>
  <c r="C64" i="20"/>
  <c r="C208" i="20"/>
  <c r="C80" i="20"/>
  <c r="C324" i="20"/>
  <c r="C276" i="20"/>
  <c r="D325" i="20"/>
  <c r="D197" i="20"/>
  <c r="D247" i="20"/>
  <c r="D291" i="20"/>
  <c r="C182" i="20"/>
  <c r="D215" i="20"/>
  <c r="C122" i="20"/>
  <c r="D33" i="20"/>
  <c r="D163" i="20"/>
  <c r="C157" i="20"/>
  <c r="D146" i="20"/>
  <c r="D360" i="20"/>
  <c r="D168" i="20"/>
  <c r="D245" i="20"/>
  <c r="D126" i="20"/>
  <c r="C146" i="20"/>
  <c r="D260" i="20"/>
  <c r="D165" i="20"/>
  <c r="C174" i="20"/>
  <c r="D283" i="20"/>
  <c r="D28" i="20"/>
  <c r="D208" i="20"/>
  <c r="C29" i="20"/>
  <c r="D286" i="20"/>
  <c r="D323" i="20"/>
  <c r="D233" i="20"/>
  <c r="C220" i="20"/>
  <c r="C298" i="20"/>
  <c r="D45" i="20"/>
  <c r="C225" i="20"/>
  <c r="D91" i="20"/>
  <c r="C92" i="20"/>
  <c r="C96" i="20"/>
  <c r="C69" i="20"/>
  <c r="C212" i="20"/>
  <c r="D361" i="20"/>
  <c r="D254" i="20"/>
  <c r="D285" i="20"/>
  <c r="C326" i="20"/>
  <c r="C18" i="20"/>
  <c r="C285" i="20"/>
  <c r="D129" i="20"/>
  <c r="C277" i="20"/>
  <c r="D62" i="20"/>
  <c r="C333" i="20"/>
  <c r="C148" i="20"/>
  <c r="C130" i="20"/>
  <c r="D243" i="20"/>
  <c r="C302" i="20"/>
  <c r="D279" i="20"/>
  <c r="C215" i="20"/>
  <c r="C227" i="20"/>
  <c r="D64" i="20"/>
  <c r="C132" i="20"/>
  <c r="C42" i="20"/>
  <c r="C24" i="20"/>
  <c r="D25" i="20"/>
  <c r="D133" i="20"/>
  <c r="D151" i="20"/>
  <c r="C195" i="20"/>
  <c r="C263" i="20"/>
  <c r="C7" i="20"/>
  <c r="D22" i="20"/>
  <c r="D339" i="20"/>
  <c r="D302" i="20"/>
  <c r="D194" i="20"/>
  <c r="C152" i="20"/>
  <c r="C137" i="20"/>
  <c r="C66" i="20"/>
  <c r="C159" i="20"/>
  <c r="C291" i="20"/>
  <c r="D333" i="20"/>
  <c r="C216" i="20"/>
  <c r="C321" i="20"/>
  <c r="D92" i="20"/>
  <c r="D297" i="20"/>
  <c r="C126" i="20"/>
  <c r="C86" i="20"/>
  <c r="D20" i="20"/>
  <c r="D241" i="20"/>
  <c r="C38" i="20"/>
  <c r="C213" i="20"/>
  <c r="D55" i="20"/>
  <c r="D237" i="20"/>
  <c r="D72" i="20"/>
  <c r="C322" i="20"/>
  <c r="C28" i="20"/>
  <c r="C272" i="20"/>
  <c r="C348" i="20"/>
  <c r="C358" i="20"/>
  <c r="C181" i="20"/>
  <c r="D113" i="20"/>
  <c r="C350" i="20"/>
  <c r="C279" i="20"/>
  <c r="D357" i="20"/>
  <c r="C50" i="20"/>
  <c r="D100" i="20"/>
  <c r="C267" i="20"/>
  <c r="D274" i="20"/>
  <c r="D228" i="20"/>
  <c r="D46" i="20"/>
  <c r="D281" i="20"/>
  <c r="D58" i="20"/>
  <c r="D96" i="20"/>
  <c r="D301" i="20"/>
  <c r="D19" i="20"/>
  <c r="D135" i="20"/>
  <c r="D30" i="20"/>
  <c r="C224" i="20"/>
  <c r="D304" i="20"/>
  <c r="C39" i="20"/>
  <c r="D314" i="20"/>
  <c r="D364" i="20"/>
  <c r="D251" i="20"/>
  <c r="C169" i="20"/>
  <c r="C345" i="20"/>
  <c r="D130" i="20"/>
  <c r="D311" i="20"/>
  <c r="C236" i="20"/>
  <c r="C32" i="20"/>
  <c r="C113" i="20"/>
  <c r="D116" i="20"/>
  <c r="C297" i="20"/>
  <c r="D238" i="20"/>
  <c r="D124" i="20"/>
  <c r="C349" i="20"/>
  <c r="D229" i="20"/>
  <c r="D86" i="20"/>
  <c r="D276" i="20"/>
  <c r="D99" i="20"/>
  <c r="D255" i="20"/>
  <c r="D213" i="20"/>
  <c r="C102" i="20"/>
  <c r="D222" i="20"/>
  <c r="C334" i="20"/>
  <c r="C346" i="20"/>
  <c r="D50" i="20"/>
  <c r="C121" i="20"/>
  <c r="D142" i="20"/>
  <c r="D269" i="20"/>
  <c r="D160" i="20"/>
  <c r="D347" i="20"/>
  <c r="D204" i="20"/>
  <c r="D68" i="20"/>
  <c r="C306" i="20"/>
  <c r="D336" i="20"/>
  <c r="C31" i="20"/>
  <c r="D195" i="20"/>
  <c r="C327" i="20"/>
  <c r="C339" i="20"/>
  <c r="C26" i="20"/>
  <c r="C273" i="20"/>
  <c r="C155" i="20"/>
  <c r="C125" i="20"/>
  <c r="D211" i="20"/>
  <c r="D137" i="20"/>
  <c r="D271" i="20"/>
  <c r="C246" i="20"/>
  <c r="D83" i="20"/>
  <c r="D232" i="20"/>
  <c r="D61" i="20"/>
  <c r="D190" i="20"/>
  <c r="C262" i="20"/>
  <c r="D354" i="20"/>
  <c r="C198" i="20"/>
  <c r="D17" i="20"/>
  <c r="D102" i="20"/>
  <c r="D78" i="20"/>
  <c r="C156" i="20"/>
  <c r="D202" i="20"/>
  <c r="D69" i="20"/>
  <c r="D326" i="20"/>
  <c r="D252" i="20"/>
  <c r="D179" i="20"/>
  <c r="D125" i="20"/>
  <c r="C171" i="20"/>
  <c r="C231" i="20"/>
  <c r="C228" i="20"/>
  <c r="C8" i="20"/>
  <c r="C319" i="20"/>
  <c r="C219" i="20"/>
  <c r="C299" i="20"/>
  <c r="D273" i="20"/>
  <c r="C97" i="20"/>
  <c r="D221" i="20"/>
  <c r="D59" i="20"/>
  <c r="C313" i="20"/>
  <c r="C185" i="20"/>
  <c r="C35" i="20"/>
  <c r="C21" i="20"/>
  <c r="D82" i="20"/>
  <c r="C207" i="20"/>
  <c r="D155" i="20"/>
  <c r="D310" i="20"/>
  <c r="C189" i="20"/>
  <c r="C161" i="20"/>
  <c r="C123" i="20"/>
  <c r="D16" i="20"/>
  <c r="D88" i="20"/>
  <c r="C79" i="20"/>
  <c r="C84" i="20"/>
  <c r="C30" i="20"/>
  <c r="D307" i="20"/>
  <c r="C36" i="20"/>
  <c r="D220" i="20"/>
  <c r="C323" i="20"/>
  <c r="C352" i="20"/>
  <c r="D89" i="20"/>
  <c r="D13" i="20"/>
  <c r="C33" i="20"/>
  <c r="D120" i="20"/>
  <c r="C270" i="20"/>
  <c r="C83" i="20"/>
  <c r="C233" i="20"/>
  <c r="D182" i="20"/>
  <c r="D40" i="20"/>
  <c r="D313" i="20"/>
  <c r="C347" i="20"/>
  <c r="D147" i="20"/>
  <c r="C203" i="20"/>
  <c r="C78" i="20"/>
  <c r="D164" i="20"/>
  <c r="C275" i="20"/>
  <c r="D331" i="20"/>
  <c r="D117" i="20"/>
  <c r="C72" i="20"/>
  <c r="C107" i="20"/>
  <c r="C294" i="20"/>
  <c r="C5" i="20"/>
  <c r="D97" i="20"/>
  <c r="C17" i="20"/>
  <c r="D275" i="20"/>
  <c r="C162" i="20"/>
  <c r="C222" i="20"/>
  <c r="D335" i="20"/>
  <c r="C94" i="20"/>
  <c r="C250" i="20"/>
  <c r="D85" i="20"/>
  <c r="D329" i="20"/>
  <c r="C335" i="20"/>
  <c r="C54" i="20"/>
  <c r="C11" i="20"/>
  <c r="C258" i="20"/>
  <c r="D193" i="20"/>
  <c r="D294" i="20"/>
  <c r="C344" i="20"/>
  <c r="C44" i="20"/>
  <c r="C46" i="20"/>
  <c r="C61" i="20"/>
  <c r="D292" i="20"/>
  <c r="D56" i="20"/>
  <c r="D154" i="20"/>
  <c r="C9" i="20"/>
  <c r="D75" i="20"/>
  <c r="C14" i="20"/>
  <c r="D253" i="20"/>
  <c r="C282" i="20"/>
  <c r="C98" i="20"/>
  <c r="D87" i="20"/>
  <c r="C100" i="20"/>
  <c r="C88" i="20"/>
  <c r="D258" i="20"/>
  <c r="C342" i="20"/>
  <c r="D66" i="20"/>
  <c r="C202" i="20"/>
  <c r="C238" i="20"/>
  <c r="C180" i="20"/>
  <c r="D349" i="20"/>
  <c r="D244" i="20"/>
  <c r="D319" i="20"/>
  <c r="C226" i="20"/>
  <c r="D330" i="20"/>
  <c r="D191" i="20"/>
  <c r="D192" i="20"/>
  <c r="D24" i="20"/>
  <c r="C81" i="20"/>
  <c r="C243" i="20"/>
  <c r="D176" i="20"/>
  <c r="D131" i="20"/>
  <c r="C307" i="20"/>
  <c r="C252" i="20"/>
  <c r="C310" i="20"/>
  <c r="D161" i="20"/>
  <c r="D261" i="20"/>
  <c r="D15" i="20"/>
  <c r="D122" i="20"/>
  <c r="D119" i="20"/>
  <c r="C241" i="20"/>
  <c r="D223" i="20"/>
  <c r="D41" i="20"/>
  <c r="C247" i="20"/>
  <c r="D171" i="20"/>
  <c r="D196" i="20"/>
  <c r="C93" i="20"/>
  <c r="C76" i="20"/>
  <c r="D263" i="20"/>
  <c r="C296" i="20"/>
  <c r="C115" i="20"/>
  <c r="C301" i="20"/>
  <c r="D348" i="20"/>
  <c r="C6" i="20"/>
  <c r="D138" i="20"/>
  <c r="C75" i="20"/>
  <c r="D121" i="20"/>
  <c r="C27" i="20"/>
  <c r="D180" i="20"/>
  <c r="D79" i="20"/>
  <c r="C65" i="20"/>
  <c r="C304" i="20"/>
  <c r="C261" i="20"/>
  <c r="D242" i="20"/>
  <c r="D107" i="20"/>
  <c r="D54" i="20"/>
  <c r="D7" i="20"/>
  <c r="C218" i="20"/>
  <c r="D39" i="20"/>
  <c r="D327" i="20"/>
  <c r="D240" i="20"/>
  <c r="D352" i="20"/>
  <c r="C305" i="20"/>
  <c r="D308" i="20"/>
  <c r="D256" i="20"/>
  <c r="C67" i="20"/>
  <c r="C186" i="20"/>
  <c r="C353" i="20"/>
  <c r="D109" i="20"/>
  <c r="C120" i="20"/>
  <c r="C47" i="20"/>
  <c r="C190" i="20"/>
  <c r="D148" i="20"/>
  <c r="D73" i="20"/>
  <c r="D267" i="20"/>
  <c r="D185" i="20"/>
  <c r="D175" i="20"/>
  <c r="D156" i="20"/>
  <c r="D140" i="20"/>
  <c r="D9" i="20"/>
  <c r="D214" i="20"/>
  <c r="C73" i="20"/>
  <c r="C188" i="20"/>
  <c r="D338" i="20"/>
  <c r="D23" i="20"/>
  <c r="D53" i="20"/>
  <c r="C119" i="20"/>
  <c r="D49" i="20"/>
  <c r="C314" i="20"/>
  <c r="D210" i="20"/>
  <c r="D216" i="20"/>
  <c r="C34" i="20"/>
  <c r="D317" i="20"/>
  <c r="D114" i="20"/>
  <c r="C320" i="20"/>
  <c r="D268" i="20"/>
  <c r="D63" i="20"/>
  <c r="C194" i="20"/>
  <c r="D332" i="20"/>
  <c r="C59" i="20"/>
  <c r="C351" i="20"/>
  <c r="C196" i="20"/>
  <c r="C266" i="20"/>
  <c r="D224" i="20"/>
  <c r="C16" i="20"/>
  <c r="D128" i="20"/>
  <c r="C57" i="20"/>
  <c r="C154" i="20"/>
  <c r="C117" i="20"/>
  <c r="D31" i="20"/>
  <c r="C357" i="20"/>
  <c r="C217" i="20"/>
  <c r="D103" i="20"/>
  <c r="C271" i="20"/>
  <c r="D18" i="20"/>
  <c r="C268" i="20"/>
  <c r="D320" i="20"/>
  <c r="C133" i="20"/>
  <c r="C111" i="20"/>
  <c r="D80" i="20"/>
  <c r="C255" i="20"/>
  <c r="C172" i="20"/>
  <c r="D183" i="20"/>
  <c r="D341" i="20"/>
  <c r="D344" i="20"/>
  <c r="C136" i="20"/>
  <c r="D264" i="20"/>
  <c r="C316" i="20"/>
  <c r="D345" i="20"/>
  <c r="C221" i="20"/>
  <c r="D226" i="20"/>
  <c r="D27" i="20"/>
  <c r="D346" i="20"/>
  <c r="D272" i="20"/>
  <c r="D278" i="20"/>
  <c r="C292" i="20"/>
  <c r="D328" i="20"/>
  <c r="D209" i="20"/>
  <c r="C167" i="20"/>
  <c r="C110" i="20"/>
  <c r="D36" i="20"/>
  <c r="C193" i="20"/>
  <c r="D141" i="20"/>
  <c r="C127" i="20"/>
  <c r="C53" i="20"/>
  <c r="C281" i="20"/>
  <c r="D136" i="20"/>
  <c r="C165" i="20"/>
  <c r="D231" i="20"/>
  <c r="C147" i="20"/>
  <c r="C89" i="20"/>
  <c r="D94" i="20"/>
  <c r="D217" i="20"/>
  <c r="C234" i="20"/>
  <c r="D134" i="20"/>
  <c r="D34" i="20"/>
  <c r="D38" i="20"/>
  <c r="C15" i="20"/>
  <c r="D299" i="20"/>
  <c r="D8" i="20"/>
  <c r="D355" i="20"/>
  <c r="C278" i="20"/>
  <c r="D203" i="20"/>
  <c r="C52" i="20"/>
  <c r="D177" i="20"/>
  <c r="C286" i="20"/>
  <c r="D115" i="20"/>
  <c r="D43" i="20"/>
  <c r="C41" i="20"/>
  <c r="C251" i="20"/>
  <c r="D277" i="20"/>
  <c r="D149" i="20"/>
  <c r="C343" i="20"/>
  <c r="D65" i="20"/>
  <c r="C129" i="20"/>
  <c r="C256" i="20"/>
  <c r="C331" i="20"/>
  <c r="C164" i="20"/>
  <c r="C91" i="20"/>
  <c r="D118" i="20"/>
  <c r="C211" i="20"/>
  <c r="C175" i="20"/>
  <c r="D351" i="20"/>
  <c r="C354" i="20"/>
  <c r="C108" i="20"/>
  <c r="D288" i="20"/>
  <c r="C19" i="20"/>
  <c r="D57" i="20"/>
  <c r="D315" i="20"/>
  <c r="D145" i="20"/>
  <c r="C356" i="20"/>
  <c r="C134" i="20"/>
  <c r="C308" i="20"/>
  <c r="C240" i="20"/>
  <c r="D266" i="20"/>
  <c r="C340" i="20"/>
  <c r="C99" i="20"/>
  <c r="C309" i="20"/>
  <c r="D11" i="20"/>
  <c r="C290" i="20"/>
  <c r="D234" i="20"/>
  <c r="C176" i="20"/>
  <c r="C232" i="20"/>
  <c r="D104" i="20"/>
  <c r="D67" i="20"/>
  <c r="C12" i="20"/>
  <c r="D158" i="20"/>
  <c r="C166" i="20"/>
  <c r="D227" i="20"/>
  <c r="C103" i="20"/>
  <c r="D26" i="20"/>
  <c r="C293" i="20"/>
  <c r="C23" i="20"/>
  <c r="D298" i="20"/>
  <c r="C360" i="20"/>
  <c r="C269" i="20"/>
  <c r="C328" i="20"/>
  <c r="C257" i="20"/>
  <c r="D295" i="20"/>
  <c r="D300" i="20"/>
  <c r="D218" i="20"/>
  <c r="D293" i="20"/>
  <c r="D236" i="20"/>
  <c r="C71" i="20"/>
  <c r="C204" i="20"/>
  <c r="C337" i="20"/>
  <c r="C315" i="20"/>
  <c r="D74" i="20"/>
  <c r="D259" i="20"/>
  <c r="C48" i="20"/>
  <c r="C87" i="20"/>
  <c r="C201" i="20"/>
  <c r="D10" i="20"/>
  <c r="D296" i="20"/>
  <c r="C56" i="20"/>
  <c r="D287" i="20"/>
  <c r="D32" i="20"/>
  <c r="D21" i="20"/>
  <c r="C303" i="20"/>
  <c r="D353" i="20"/>
  <c r="C104" i="20"/>
  <c r="D76" i="20"/>
  <c r="D101" i="20"/>
  <c r="C144" i="20"/>
  <c r="D189" i="20"/>
  <c r="C60" i="20"/>
  <c r="C191" i="20"/>
  <c r="D270" i="20"/>
  <c r="C260" i="20"/>
  <c r="C58" i="20"/>
  <c r="C20" i="20"/>
  <c r="D265" i="20"/>
  <c r="D60" i="20"/>
  <c r="D105" i="20"/>
  <c r="D246" i="20"/>
  <c r="C140" i="20"/>
  <c r="C37" i="20"/>
  <c r="B5" i="20"/>
  <c r="C10" i="20"/>
  <c r="C109" i="20"/>
  <c r="D150" i="20"/>
  <c r="D186" i="20"/>
  <c r="C116" i="20"/>
  <c r="C338" i="20"/>
  <c r="C141" i="20"/>
  <c r="D169" i="20"/>
  <c r="D93" i="20"/>
  <c r="C199" i="20"/>
  <c r="D42" i="20"/>
  <c r="D12" i="20"/>
  <c r="D77" i="20"/>
  <c r="D303" i="20"/>
  <c r="D334" i="20"/>
  <c r="D44" i="20"/>
  <c r="D178" i="20"/>
  <c r="C223" i="20"/>
  <c r="D257" i="20"/>
  <c r="D324" i="20"/>
  <c r="C235" i="20"/>
  <c r="C25" i="20"/>
  <c r="C151" i="20"/>
  <c r="C274" i="20"/>
  <c r="D184" i="20"/>
  <c r="C205" i="20"/>
  <c r="C230" i="20"/>
  <c r="C317" i="20"/>
  <c r="D318" i="20"/>
  <c r="C160" i="20"/>
  <c r="C329" i="20"/>
  <c r="C114" i="20"/>
  <c r="D84" i="20"/>
  <c r="D170" i="20"/>
  <c r="C173" i="20"/>
  <c r="J5" i="20"/>
  <c r="D143" i="20"/>
  <c r="D98" i="20"/>
  <c r="C179" i="20"/>
  <c r="C200" i="20"/>
  <c r="D249" i="20"/>
  <c r="C362" i="20"/>
  <c r="C300" i="20"/>
  <c r="C124" i="20"/>
  <c r="C253" i="20"/>
  <c r="C177" i="20"/>
  <c r="D187" i="20"/>
  <c r="D111" i="20"/>
  <c r="C332" i="20"/>
  <c r="C55" i="20"/>
  <c r="D305" i="20"/>
  <c r="D90" i="20"/>
  <c r="C289" i="20"/>
  <c r="C40" i="20"/>
  <c r="C239" i="20"/>
  <c r="C210" i="20"/>
  <c r="C187" i="20"/>
  <c r="C283" i="20"/>
  <c r="D37" i="20"/>
  <c r="D162" i="20"/>
  <c r="D14" i="20"/>
  <c r="D316" i="20"/>
  <c r="C206" i="20"/>
  <c r="C139" i="20"/>
  <c r="C245" i="20"/>
  <c r="D52" i="20"/>
  <c r="D106" i="20"/>
  <c r="D6" i="20"/>
  <c r="D362" i="20"/>
  <c r="D139" i="20"/>
  <c r="C209" i="20"/>
  <c r="D127" i="20"/>
  <c r="C312" i="20"/>
  <c r="C74" i="20"/>
  <c r="D312" i="20"/>
  <c r="C68" i="20"/>
  <c r="C242" i="20"/>
  <c r="C168" i="20"/>
  <c r="D35" i="20"/>
  <c r="C45" i="20"/>
  <c r="D322" i="20"/>
  <c r="C183" i="20"/>
  <c r="C248" i="20"/>
  <c r="D282" i="20"/>
  <c r="D356" i="20"/>
  <c r="D173" i="20"/>
  <c r="D212" i="20"/>
  <c r="C229" i="20"/>
  <c r="C145" i="20"/>
  <c r="C105" i="20"/>
  <c r="D337" i="20"/>
  <c r="D207" i="20"/>
  <c r="D340" i="20"/>
  <c r="C170" i="20"/>
  <c r="C90" i="20"/>
  <c r="D306" i="20"/>
  <c r="C150" i="20"/>
  <c r="D167" i="20"/>
  <c r="D174" i="20"/>
  <c r="C363" i="20"/>
  <c r="C288" i="20"/>
  <c r="D280" i="20"/>
  <c r="D81" i="20"/>
  <c r="D71" i="20"/>
  <c r="D112" i="20"/>
  <c r="D363" i="20"/>
  <c r="D5" i="20"/>
  <c r="D321" i="20"/>
  <c r="C237" i="20"/>
  <c r="C244" i="20"/>
  <c r="D235" i="20"/>
  <c r="D108" i="20"/>
  <c r="D144" i="20"/>
  <c r="C49" i="20"/>
  <c r="C128" i="20"/>
  <c r="C131" i="20"/>
  <c r="D200" i="20"/>
  <c r="C101" i="20"/>
  <c r="D358" i="20"/>
  <c r="D110" i="20"/>
  <c r="D206" i="20"/>
  <c r="D172" i="20"/>
  <c r="C361" i="20"/>
  <c r="D309" i="20"/>
  <c r="D342" i="20"/>
  <c r="D359" i="20"/>
  <c r="D132" i="20"/>
  <c r="C249" i="20"/>
  <c r="C82" i="20"/>
  <c r="C85" i="20"/>
  <c r="C341" i="20"/>
  <c r="D289" i="20"/>
  <c r="C311" i="20"/>
  <c r="C197" i="20"/>
  <c r="C112" i="20"/>
  <c r="D343" i="20"/>
  <c r="D230" i="20"/>
  <c r="D250" i="20"/>
  <c r="C106" i="20"/>
  <c r="C143" i="20"/>
  <c r="D48" i="20"/>
  <c r="C135" i="20"/>
  <c r="D157" i="20"/>
  <c r="C330" i="20"/>
  <c r="C355" i="20"/>
  <c r="C280" i="20"/>
  <c r="C184" i="20"/>
  <c r="D166" i="20"/>
  <c r="C192" i="20"/>
  <c r="D290" i="20"/>
  <c r="C118" i="20"/>
  <c r="D198" i="20"/>
  <c r="D284" i="20"/>
  <c r="D153" i="20"/>
  <c r="C138" i="20"/>
  <c r="D67" i="19"/>
  <c r="E111" i="20"/>
  <c r="E132" i="20"/>
  <c r="E212" i="20"/>
  <c r="E47" i="20"/>
  <c r="E85" i="20"/>
  <c r="E116" i="20"/>
  <c r="E23" i="20"/>
  <c r="E29" i="20"/>
  <c r="E71" i="20"/>
  <c r="E24" i="20"/>
  <c r="E114" i="20"/>
  <c r="E20" i="20"/>
  <c r="E154" i="20"/>
  <c r="E170" i="20"/>
  <c r="E149" i="20"/>
  <c r="E118" i="20"/>
  <c r="E130" i="20"/>
  <c r="E77" i="20"/>
  <c r="E7" i="20"/>
  <c r="E63" i="20"/>
  <c r="E72" i="20"/>
  <c r="E14" i="20"/>
  <c r="E99" i="20"/>
  <c r="E83" i="20"/>
  <c r="E159" i="20"/>
  <c r="E300" i="20"/>
  <c r="E352" i="20"/>
  <c r="E270" i="20"/>
  <c r="E295" i="20"/>
  <c r="E277" i="20"/>
  <c r="E335" i="20"/>
  <c r="E311" i="20"/>
  <c r="E330" i="20"/>
  <c r="E234" i="20"/>
  <c r="E324" i="20"/>
  <c r="E260" i="20"/>
  <c r="E252" i="20"/>
  <c r="E286" i="20"/>
  <c r="E283" i="20"/>
  <c r="E214" i="20"/>
  <c r="E32" i="20"/>
  <c r="E143" i="20"/>
  <c r="E27" i="20"/>
  <c r="E86" i="20"/>
  <c r="E203" i="20"/>
  <c r="E140" i="20"/>
  <c r="E213" i="20"/>
  <c r="E59" i="20"/>
  <c r="E204" i="20"/>
  <c r="E84" i="20"/>
  <c r="E133" i="20"/>
  <c r="E158" i="20"/>
  <c r="E115" i="20"/>
  <c r="E146" i="20"/>
  <c r="E225" i="20"/>
  <c r="E90" i="20"/>
  <c r="E280" i="20"/>
  <c r="E349" i="20"/>
  <c r="E333" i="20"/>
  <c r="E284" i="20"/>
  <c r="E258" i="20"/>
  <c r="E255" i="20"/>
  <c r="E268" i="20"/>
  <c r="E267" i="20"/>
  <c r="E305" i="20"/>
  <c r="E320" i="20"/>
  <c r="E279" i="20"/>
  <c r="E144" i="20"/>
  <c r="E82" i="20"/>
  <c r="E113" i="20"/>
  <c r="E62" i="20"/>
  <c r="E8" i="20"/>
  <c r="E169" i="20"/>
  <c r="E145" i="20"/>
  <c r="E75" i="20"/>
  <c r="E104" i="20"/>
  <c r="E126" i="20"/>
  <c r="E223" i="20"/>
  <c r="E197" i="20"/>
  <c r="E127" i="20"/>
  <c r="E166" i="20"/>
  <c r="E217" i="20"/>
  <c r="E100" i="20"/>
  <c r="E237" i="20"/>
  <c r="E317" i="20"/>
  <c r="E236" i="20"/>
  <c r="E341" i="20"/>
  <c r="E235" i="20"/>
  <c r="E288" i="20"/>
  <c r="E306" i="20"/>
  <c r="E342" i="20"/>
  <c r="E289" i="20"/>
  <c r="E37" i="20"/>
  <c r="E179" i="20"/>
  <c r="E193" i="20"/>
  <c r="E136" i="20"/>
  <c r="E17" i="20"/>
  <c r="E162" i="20"/>
  <c r="E196" i="20"/>
  <c r="E25" i="20"/>
  <c r="E183" i="20"/>
  <c r="E22" i="20"/>
  <c r="E173" i="20"/>
  <c r="E224" i="20"/>
  <c r="E151" i="20"/>
  <c r="E11" i="20"/>
  <c r="E107" i="20"/>
  <c r="E294" i="20"/>
  <c r="E357" i="20"/>
  <c r="E222" i="20"/>
  <c r="E18" i="20"/>
  <c r="E55" i="20"/>
  <c r="E38" i="20"/>
  <c r="E177" i="20"/>
  <c r="E275" i="20"/>
  <c r="E66" i="20"/>
  <c r="E124" i="20"/>
  <c r="E106" i="20"/>
  <c r="E48" i="20"/>
  <c r="E139" i="20"/>
  <c r="E79" i="20"/>
  <c r="E42" i="20"/>
  <c r="E194" i="20"/>
  <c r="E60" i="20"/>
  <c r="E94" i="20"/>
  <c r="E272" i="20"/>
  <c r="E332" i="20"/>
  <c r="E238" i="20"/>
  <c r="E298" i="20"/>
  <c r="E346" i="20"/>
  <c r="E250" i="20"/>
  <c r="E239" i="20"/>
  <c r="E325" i="20"/>
  <c r="E293" i="20"/>
  <c r="N5" i="20"/>
  <c r="E16" i="20"/>
  <c r="E37" i="19"/>
  <c r="E92" i="20"/>
  <c r="E67" i="20"/>
  <c r="E205" i="20"/>
  <c r="E178" i="20"/>
  <c r="E28" i="20"/>
  <c r="E30" i="20"/>
  <c r="E220" i="20"/>
  <c r="E45" i="20"/>
  <c r="E49" i="20"/>
  <c r="E98" i="20"/>
  <c r="E165" i="20"/>
  <c r="E80" i="20"/>
  <c r="E209" i="20"/>
  <c r="E73" i="20"/>
  <c r="E122" i="20"/>
  <c r="E105" i="20"/>
  <c r="E249" i="20"/>
  <c r="E52" i="20"/>
  <c r="E87" i="20"/>
  <c r="E216" i="20"/>
  <c r="E117" i="20"/>
  <c r="E61" i="20"/>
  <c r="E231" i="20"/>
  <c r="E70" i="20"/>
  <c r="E210" i="20"/>
  <c r="E53" i="20"/>
  <c r="E184" i="20"/>
  <c r="E152" i="20"/>
  <c r="E168" i="20"/>
  <c r="E13" i="20"/>
  <c r="E46" i="20"/>
  <c r="E211" i="20"/>
  <c r="E5" i="20"/>
  <c r="E142" i="20"/>
  <c r="E101" i="20"/>
  <c r="E43" i="20"/>
  <c r="E191" i="20"/>
  <c r="E81" i="20"/>
  <c r="E206" i="20"/>
  <c r="E161" i="20"/>
  <c r="E135" i="20"/>
  <c r="E97" i="20"/>
  <c r="E39" i="20"/>
  <c r="E336" i="20"/>
  <c r="E172" i="20"/>
  <c r="E95" i="20"/>
  <c r="E155" i="20"/>
  <c r="E36" i="20"/>
  <c r="E185" i="20"/>
  <c r="E219" i="20"/>
  <c r="E186" i="20"/>
  <c r="E138" i="20"/>
  <c r="E244" i="20"/>
  <c r="E274" i="20"/>
  <c r="E296" i="20"/>
  <c r="E308" i="20"/>
  <c r="E351" i="20"/>
  <c r="E265" i="20"/>
  <c r="E15" i="20"/>
  <c r="E93" i="20"/>
  <c r="E57" i="20"/>
  <c r="E112" i="20"/>
  <c r="E45" i="19"/>
  <c r="E160" i="20"/>
  <c r="E198" i="20"/>
  <c r="E35" i="20"/>
  <c r="E68" i="20"/>
  <c r="E348" i="20"/>
  <c r="E334" i="20"/>
  <c r="E241" i="20"/>
  <c r="E282" i="20"/>
  <c r="E353" i="20"/>
  <c r="E259" i="20"/>
  <c r="E326" i="20"/>
  <c r="E96" i="20"/>
  <c r="E208" i="20"/>
  <c r="E176" i="20"/>
  <c r="E202" i="20"/>
  <c r="E40" i="20"/>
  <c r="E39" i="19"/>
  <c r="E215" i="20"/>
  <c r="E190" i="20"/>
  <c r="E246" i="20"/>
  <c r="E358" i="20"/>
  <c r="E321" i="20"/>
  <c r="E273" i="20"/>
  <c r="E276" i="20"/>
  <c r="E314" i="20"/>
  <c r="E316" i="20"/>
  <c r="E34" i="20"/>
  <c r="E65" i="20"/>
  <c r="E58" i="20"/>
  <c r="E207" i="20"/>
  <c r="E171" i="20"/>
  <c r="E103" i="20"/>
  <c r="E153" i="20"/>
  <c r="E192" i="20"/>
  <c r="E313" i="20"/>
  <c r="E331" i="20"/>
  <c r="E319" i="20"/>
  <c r="E299" i="20"/>
  <c r="E271" i="20"/>
  <c r="E269" i="20"/>
  <c r="E304" i="20"/>
  <c r="E123" i="20"/>
  <c r="E227" i="20"/>
  <c r="E137" i="20"/>
  <c r="E148" i="20"/>
  <c r="E48" i="19"/>
  <c r="E26" i="20"/>
  <c r="E129" i="20"/>
  <c r="E256" i="20"/>
  <c r="E57" i="19"/>
  <c r="E199" i="20"/>
  <c r="E156" i="20"/>
  <c r="E240" i="20"/>
  <c r="E248" i="20"/>
  <c r="E359" i="20"/>
  <c r="E303" i="20"/>
  <c r="E302" i="20"/>
  <c r="E251" i="20"/>
  <c r="E12" i="20"/>
  <c r="E188" i="20"/>
  <c r="E19" i="20"/>
  <c r="E285" i="20"/>
  <c r="E150" i="20"/>
  <c r="E167" i="20"/>
  <c r="E78" i="20"/>
  <c r="E109" i="20"/>
  <c r="E195" i="20"/>
  <c r="E254" i="20"/>
  <c r="E263" i="20"/>
  <c r="E344" i="20"/>
  <c r="E281" i="20"/>
  <c r="E337" i="20"/>
  <c r="E278" i="20"/>
  <c r="E327" i="20"/>
  <c r="E147" i="20"/>
  <c r="E44" i="20"/>
  <c r="E121" i="20"/>
  <c r="E31" i="20"/>
  <c r="E76" i="20"/>
  <c r="E119" i="20"/>
  <c r="E120" i="20"/>
  <c r="E74" i="20"/>
  <c r="E322" i="20"/>
  <c r="E315" i="20"/>
  <c r="E253" i="20"/>
  <c r="E242" i="20"/>
  <c r="E243" i="20"/>
  <c r="E264" i="20"/>
  <c r="E350" i="20"/>
  <c r="E328" i="20"/>
  <c r="E226" i="20"/>
  <c r="E182" i="20"/>
  <c r="E174" i="20"/>
  <c r="E189" i="20"/>
  <c r="E128" i="20"/>
  <c r="E21" i="20"/>
  <c r="E134" i="20"/>
  <c r="E157" i="20"/>
  <c r="E318" i="20"/>
  <c r="E291" i="20"/>
  <c r="E230" i="20"/>
  <c r="E287" i="20"/>
  <c r="E343" i="20"/>
  <c r="E233" i="20"/>
  <c r="E329" i="20"/>
  <c r="E266" i="20"/>
  <c r="E175" i="20"/>
  <c r="E187" i="20"/>
  <c r="E301" i="20"/>
  <c r="E232" i="20"/>
  <c r="E55" i="19"/>
  <c r="E108" i="20"/>
  <c r="E110" i="20"/>
  <c r="E41" i="20"/>
  <c r="C366" i="20"/>
  <c r="E363" i="20"/>
  <c r="E297" i="20"/>
  <c r="E125" i="20"/>
  <c r="E164" i="20"/>
  <c r="E89" i="20"/>
  <c r="E323" i="20"/>
  <c r="E309" i="20"/>
  <c r="E141" i="20"/>
  <c r="E33" i="20"/>
  <c r="E54" i="20"/>
  <c r="E247" i="20"/>
  <c r="E354" i="20"/>
  <c r="E228" i="20"/>
  <c r="E64" i="20"/>
  <c r="E131" i="20"/>
  <c r="E361" i="20"/>
  <c r="E307" i="20"/>
  <c r="E9" i="20"/>
  <c r="E338" i="20"/>
  <c r="E347" i="20"/>
  <c r="E6" i="20"/>
  <c r="E355" i="20"/>
  <c r="E312" i="20"/>
  <c r="E102" i="20"/>
  <c r="E69" i="20"/>
  <c r="E290" i="20"/>
  <c r="E88" i="20"/>
  <c r="E200" i="20"/>
  <c r="E257" i="20"/>
  <c r="E91" i="20"/>
  <c r="E50" i="20"/>
  <c r="E310" i="20"/>
  <c r="E218" i="20"/>
  <c r="E180" i="20"/>
  <c r="E364" i="20"/>
  <c r="E51" i="20"/>
  <c r="E356" i="20"/>
  <c r="E345" i="20"/>
  <c r="E201" i="20"/>
  <c r="E10" i="20"/>
  <c r="E340" i="20"/>
  <c r="E64" i="19"/>
  <c r="E56" i="20"/>
  <c r="E362" i="20"/>
  <c r="E339" i="20"/>
  <c r="E163" i="20"/>
  <c r="E360" i="20"/>
  <c r="E229" i="20"/>
  <c r="E262" i="20"/>
  <c r="E245" i="20"/>
  <c r="E181" i="20"/>
  <c r="E221" i="20"/>
  <c r="E261" i="20"/>
  <c r="E292" i="20"/>
  <c r="E60" i="19"/>
  <c r="J6" i="20"/>
  <c r="N6" i="20"/>
  <c r="K5" i="20"/>
  <c r="B6" i="20"/>
  <c r="C37" i="19"/>
  <c r="L5" i="20"/>
  <c r="C9" i="19"/>
  <c r="F230" i="20"/>
  <c r="G230" i="20"/>
  <c r="H230" i="20"/>
  <c r="F172" i="20"/>
  <c r="G172" i="20"/>
  <c r="H172" i="20"/>
  <c r="F266" i="20"/>
  <c r="G266" i="20"/>
  <c r="H266" i="20"/>
  <c r="F316" i="20"/>
  <c r="G316" i="20"/>
  <c r="H316" i="20"/>
  <c r="F82" i="20"/>
  <c r="G82" i="20"/>
  <c r="H82" i="20"/>
  <c r="F177" i="20"/>
  <c r="G177" i="20"/>
  <c r="H177" i="20"/>
  <c r="F283" i="20"/>
  <c r="G283" i="20"/>
  <c r="H283" i="20"/>
  <c r="F273" i="20"/>
  <c r="G273" i="20"/>
  <c r="H273" i="20"/>
  <c r="F140" i="20"/>
  <c r="G140" i="20"/>
  <c r="H140" i="20"/>
  <c r="F208" i="20"/>
  <c r="G208" i="20"/>
  <c r="H208" i="20"/>
  <c r="F32" i="20"/>
  <c r="G32" i="20"/>
  <c r="H32" i="20"/>
  <c r="F346" i="20"/>
  <c r="G346" i="20"/>
  <c r="H346" i="20"/>
  <c r="F264" i="20"/>
  <c r="G264" i="20"/>
  <c r="H264" i="20"/>
  <c r="F83" i="20"/>
  <c r="G83" i="20"/>
  <c r="H83" i="20"/>
  <c r="F115" i="20"/>
  <c r="G115" i="20"/>
  <c r="H115" i="20"/>
  <c r="F87" i="20"/>
  <c r="G87" i="20"/>
  <c r="H87" i="20"/>
  <c r="F165" i="20"/>
  <c r="G165" i="20"/>
  <c r="H165" i="20"/>
  <c r="F240" i="20"/>
  <c r="G240" i="20"/>
  <c r="H240" i="20"/>
  <c r="F356" i="20"/>
  <c r="G356" i="20"/>
  <c r="H356" i="20"/>
  <c r="F333" i="20"/>
  <c r="G333" i="20"/>
  <c r="H333" i="20"/>
  <c r="F305" i="20"/>
  <c r="G305" i="20"/>
  <c r="H305" i="20"/>
  <c r="F209" i="20"/>
  <c r="G209" i="20"/>
  <c r="H209" i="20"/>
  <c r="F150" i="20"/>
  <c r="G150" i="20"/>
  <c r="H150" i="20"/>
  <c r="F278" i="20"/>
  <c r="G278" i="20"/>
  <c r="H278" i="20"/>
  <c r="F66" i="20"/>
  <c r="G66" i="20"/>
  <c r="H66" i="20"/>
  <c r="F46" i="20"/>
  <c r="G46" i="20"/>
  <c r="H46" i="20"/>
  <c r="F151" i="20"/>
  <c r="G151" i="20"/>
  <c r="H151" i="20"/>
  <c r="F137" i="20"/>
  <c r="G137" i="20"/>
  <c r="H137" i="20"/>
  <c r="F5" i="20"/>
  <c r="G5" i="20"/>
  <c r="H5" i="20"/>
  <c r="F21" i="20"/>
  <c r="G21" i="20"/>
  <c r="H21" i="20"/>
  <c r="F24" i="20"/>
  <c r="G24" i="20"/>
  <c r="H24" i="20"/>
  <c r="F250" i="20"/>
  <c r="G250" i="20"/>
  <c r="H250" i="20"/>
  <c r="F108" i="20"/>
  <c r="G108" i="20"/>
  <c r="H108" i="20"/>
  <c r="F142" i="20"/>
  <c r="G142" i="20"/>
  <c r="H142" i="20"/>
  <c r="F30" i="20"/>
  <c r="G30" i="20"/>
  <c r="H30" i="20"/>
  <c r="F117" i="20"/>
  <c r="G117" i="20"/>
  <c r="H117" i="20"/>
  <c r="F275" i="20"/>
  <c r="G275" i="20"/>
  <c r="H275" i="20"/>
  <c r="F39" i="20"/>
  <c r="G39" i="20"/>
  <c r="H39" i="20"/>
  <c r="F133" i="20"/>
  <c r="G133" i="20"/>
  <c r="H133" i="20"/>
  <c r="F25" i="20"/>
  <c r="G25" i="20"/>
  <c r="H25" i="20"/>
  <c r="F122" i="20"/>
  <c r="G122" i="20"/>
  <c r="H122" i="20"/>
  <c r="F148" i="20"/>
  <c r="G148" i="20"/>
  <c r="H148" i="20"/>
  <c r="F78" i="20"/>
  <c r="G78" i="20"/>
  <c r="H78" i="20"/>
  <c r="F322" i="20"/>
  <c r="G322" i="20"/>
  <c r="H322" i="20"/>
  <c r="F265" i="20"/>
  <c r="G265" i="20"/>
  <c r="H265" i="20"/>
  <c r="F94" i="20"/>
  <c r="G94" i="20"/>
  <c r="H94" i="20"/>
  <c r="F355" i="20"/>
  <c r="G355" i="20"/>
  <c r="H355" i="20"/>
  <c r="F120" i="20"/>
  <c r="G120" i="20"/>
  <c r="H120" i="20"/>
  <c r="F310" i="20"/>
  <c r="G310" i="20"/>
  <c r="H310" i="20"/>
  <c r="F219" i="20"/>
  <c r="G219" i="20"/>
  <c r="H219" i="20"/>
  <c r="F45" i="20"/>
  <c r="G45" i="20"/>
  <c r="H45" i="20"/>
  <c r="F289" i="20"/>
  <c r="G289" i="20"/>
  <c r="H289" i="20"/>
  <c r="F242" i="20"/>
  <c r="G242" i="20"/>
  <c r="H242" i="20"/>
  <c r="F54" i="20"/>
  <c r="G54" i="20"/>
  <c r="H54" i="20"/>
  <c r="F98" i="20"/>
  <c r="G98" i="20"/>
  <c r="H98" i="20"/>
  <c r="F225" i="20"/>
  <c r="G225" i="20"/>
  <c r="H225" i="20"/>
  <c r="F143" i="20"/>
  <c r="G143" i="20"/>
  <c r="H143" i="20"/>
  <c r="F314" i="20"/>
  <c r="G314" i="20"/>
  <c r="H314" i="20"/>
  <c r="F53" i="20"/>
  <c r="G53" i="20"/>
  <c r="H53" i="20"/>
  <c r="F37" i="20"/>
  <c r="G37" i="20"/>
  <c r="H37" i="20"/>
  <c r="F270" i="20"/>
  <c r="G270" i="20"/>
  <c r="H270" i="20"/>
  <c r="F244" i="20"/>
  <c r="G244" i="20"/>
  <c r="H244" i="20"/>
  <c r="F123" i="20"/>
  <c r="G123" i="20"/>
  <c r="H123" i="20"/>
  <c r="F17" i="20"/>
  <c r="G17" i="20"/>
  <c r="H17" i="20"/>
  <c r="F68" i="20"/>
  <c r="G68" i="20"/>
  <c r="H68" i="20"/>
  <c r="F291" i="20"/>
  <c r="G291" i="20"/>
  <c r="H291" i="20"/>
  <c r="F167" i="20"/>
  <c r="G167" i="20"/>
  <c r="H167" i="20"/>
  <c r="F272" i="20"/>
  <c r="G272" i="20"/>
  <c r="H272" i="20"/>
  <c r="F103" i="20"/>
  <c r="G103" i="20"/>
  <c r="H103" i="20"/>
  <c r="F307" i="20"/>
  <c r="G307" i="20"/>
  <c r="H307" i="20"/>
  <c r="F38" i="20"/>
  <c r="G38" i="20"/>
  <c r="H38" i="20"/>
  <c r="F128" i="20"/>
  <c r="G128" i="20"/>
  <c r="H128" i="20"/>
  <c r="F290" i="20"/>
  <c r="G290" i="20"/>
  <c r="H290" i="20"/>
  <c r="F200" i="20"/>
  <c r="G200" i="20"/>
  <c r="H200" i="20"/>
  <c r="F77" i="20"/>
  <c r="G77" i="20"/>
  <c r="H77" i="20"/>
  <c r="F178" i="20"/>
  <c r="G178" i="20"/>
  <c r="H178" i="20"/>
  <c r="F315" i="20"/>
  <c r="G315" i="20"/>
  <c r="H315" i="20"/>
  <c r="F141" i="20"/>
  <c r="G141" i="20"/>
  <c r="H141" i="20"/>
  <c r="F195" i="20"/>
  <c r="G195" i="20"/>
  <c r="H195" i="20"/>
  <c r="F6" i="20"/>
  <c r="G6" i="20"/>
  <c r="H6" i="20"/>
  <c r="D366" i="20"/>
  <c r="F288" i="20"/>
  <c r="G288" i="20"/>
  <c r="H288" i="20"/>
  <c r="F268" i="20"/>
  <c r="G268" i="20"/>
  <c r="H268" i="20"/>
  <c r="F173" i="20"/>
  <c r="G173" i="20"/>
  <c r="H173" i="20"/>
  <c r="F29" i="20"/>
  <c r="G29" i="20"/>
  <c r="H29" i="20"/>
  <c r="F189" i="20"/>
  <c r="G189" i="20"/>
  <c r="H189" i="20"/>
  <c r="F206" i="20"/>
  <c r="G206" i="20"/>
  <c r="H206" i="20"/>
  <c r="F309" i="20"/>
  <c r="G309" i="20"/>
  <c r="H309" i="20"/>
  <c r="F14" i="20"/>
  <c r="G14" i="20"/>
  <c r="H14" i="20"/>
  <c r="F338" i="20"/>
  <c r="G338" i="20"/>
  <c r="H338" i="20"/>
  <c r="F126" i="20"/>
  <c r="G126" i="20"/>
  <c r="H126" i="20"/>
  <c r="F60" i="20"/>
  <c r="G60" i="20"/>
  <c r="H60" i="20"/>
  <c r="F35" i="20"/>
  <c r="G35" i="20"/>
  <c r="H35" i="20"/>
  <c r="F91" i="20"/>
  <c r="G91" i="20"/>
  <c r="H91" i="20"/>
  <c r="F88" i="20"/>
  <c r="G88" i="20"/>
  <c r="H88" i="20"/>
  <c r="F19" i="20"/>
  <c r="G19" i="20"/>
  <c r="H19" i="20"/>
  <c r="F106" i="20"/>
  <c r="G106" i="20"/>
  <c r="H106" i="20"/>
  <c r="F286" i="20"/>
  <c r="G286" i="20"/>
  <c r="H286" i="20"/>
  <c r="F254" i="20"/>
  <c r="G254" i="20"/>
  <c r="H254" i="20"/>
  <c r="F229" i="20"/>
  <c r="G229" i="20"/>
  <c r="H229" i="20"/>
  <c r="F182" i="20"/>
  <c r="G182" i="20"/>
  <c r="H182" i="20"/>
  <c r="F345" i="20"/>
  <c r="G345" i="20"/>
  <c r="H345" i="20"/>
  <c r="F340" i="20"/>
  <c r="G340" i="20"/>
  <c r="H340" i="20"/>
  <c r="F184" i="20"/>
  <c r="G184" i="20"/>
  <c r="H184" i="20"/>
  <c r="F211" i="20"/>
  <c r="G211" i="20"/>
  <c r="H211" i="20"/>
  <c r="F92" i="20"/>
  <c r="G92" i="20"/>
  <c r="H92" i="20"/>
  <c r="F71" i="20"/>
  <c r="G71" i="20"/>
  <c r="H71" i="20"/>
  <c r="F73" i="20"/>
  <c r="G73" i="20"/>
  <c r="H73" i="20"/>
  <c r="F145" i="20"/>
  <c r="G145" i="20"/>
  <c r="H145" i="20"/>
  <c r="F48" i="20"/>
  <c r="G48" i="20"/>
  <c r="H48" i="20"/>
  <c r="F246" i="20"/>
  <c r="G246" i="20"/>
  <c r="H246" i="20"/>
  <c r="F349" i="20"/>
  <c r="G349" i="20"/>
  <c r="H349" i="20"/>
  <c r="F59" i="20"/>
  <c r="G59" i="20"/>
  <c r="H59" i="20"/>
  <c r="F262" i="20"/>
  <c r="G262" i="20"/>
  <c r="H262" i="20"/>
  <c r="F218" i="20"/>
  <c r="G218" i="20"/>
  <c r="H218" i="20"/>
  <c r="F348" i="20"/>
  <c r="G348" i="20"/>
  <c r="H348" i="20"/>
  <c r="F180" i="20"/>
  <c r="G180" i="20"/>
  <c r="H180" i="20"/>
  <c r="F318" i="20"/>
  <c r="G318" i="20"/>
  <c r="H318" i="20"/>
  <c r="F201" i="20"/>
  <c r="G201" i="20"/>
  <c r="H201" i="20"/>
  <c r="F110" i="20"/>
  <c r="G110" i="20"/>
  <c r="H110" i="20"/>
  <c r="F255" i="20"/>
  <c r="G255" i="20"/>
  <c r="H255" i="20"/>
  <c r="F203" i="20"/>
  <c r="G203" i="20"/>
  <c r="H203" i="20"/>
  <c r="F164" i="20"/>
  <c r="G164" i="20"/>
  <c r="H164" i="20"/>
  <c r="F58" i="20"/>
  <c r="G58" i="20"/>
  <c r="H58" i="20"/>
  <c r="F259" i="20"/>
  <c r="G259" i="20"/>
  <c r="H259" i="20"/>
  <c r="F359" i="20"/>
  <c r="G359" i="20"/>
  <c r="H359" i="20"/>
  <c r="F257" i="20"/>
  <c r="G257" i="20"/>
  <c r="H257" i="20"/>
  <c r="F234" i="20"/>
  <c r="G234" i="20"/>
  <c r="H234" i="20"/>
  <c r="F134" i="20"/>
  <c r="G134" i="20"/>
  <c r="H134" i="20"/>
  <c r="F114" i="20"/>
  <c r="G114" i="20"/>
  <c r="H114" i="20"/>
  <c r="F252" i="20"/>
  <c r="G252" i="20"/>
  <c r="H252" i="20"/>
  <c r="F81" i="20"/>
  <c r="G81" i="20"/>
  <c r="H81" i="20"/>
  <c r="F308" i="20"/>
  <c r="G308" i="20"/>
  <c r="H308" i="20"/>
  <c r="F304" i="20"/>
  <c r="G304" i="20"/>
  <c r="H304" i="20"/>
  <c r="F33" i="20"/>
  <c r="G33" i="20"/>
  <c r="H33" i="20"/>
  <c r="F311" i="20"/>
  <c r="G311" i="20"/>
  <c r="H311" i="20"/>
  <c r="F183" i="20"/>
  <c r="G183" i="20"/>
  <c r="H183" i="20"/>
  <c r="F159" i="20"/>
  <c r="G159" i="20"/>
  <c r="H159" i="20"/>
  <c r="F223" i="20"/>
  <c r="G223" i="20"/>
  <c r="H223" i="20"/>
  <c r="F199" i="20"/>
  <c r="G199" i="20"/>
  <c r="H199" i="20"/>
  <c r="F323" i="20"/>
  <c r="G323" i="20"/>
  <c r="H323" i="20"/>
  <c r="F127" i="20"/>
  <c r="G127" i="20"/>
  <c r="H127" i="20"/>
  <c r="F166" i="20"/>
  <c r="G166" i="20"/>
  <c r="H166" i="20"/>
  <c r="F11" i="20"/>
  <c r="G11" i="20"/>
  <c r="H11" i="20"/>
  <c r="F300" i="20"/>
  <c r="G300" i="20"/>
  <c r="H300" i="20"/>
  <c r="F65" i="20"/>
  <c r="G65" i="20"/>
  <c r="H65" i="20"/>
  <c r="F224" i="20"/>
  <c r="G224" i="20"/>
  <c r="H224" i="20"/>
  <c r="F339" i="20"/>
  <c r="G339" i="20"/>
  <c r="H339" i="20"/>
  <c r="F101" i="20"/>
  <c r="G101" i="20"/>
  <c r="H101" i="20"/>
  <c r="F109" i="20"/>
  <c r="G109" i="20"/>
  <c r="H109" i="20"/>
  <c r="F364" i="20"/>
  <c r="G364" i="20"/>
  <c r="H364" i="20"/>
  <c r="F56" i="20"/>
  <c r="G56" i="20"/>
  <c r="H56" i="20"/>
  <c r="F298" i="20"/>
  <c r="G298" i="20"/>
  <c r="H298" i="20"/>
  <c r="F84" i="20"/>
  <c r="G84" i="20"/>
  <c r="H84" i="20"/>
  <c r="F194" i="20"/>
  <c r="G194" i="20"/>
  <c r="H194" i="20"/>
  <c r="F22" i="20"/>
  <c r="G22" i="20"/>
  <c r="H22" i="20"/>
  <c r="F131" i="20"/>
  <c r="G131" i="20"/>
  <c r="H131" i="20"/>
  <c r="F245" i="20"/>
  <c r="G245" i="20"/>
  <c r="H245" i="20"/>
  <c r="F276" i="20"/>
  <c r="G276" i="20"/>
  <c r="H276" i="20"/>
  <c r="F112" i="20"/>
  <c r="G112" i="20"/>
  <c r="H112" i="20"/>
  <c r="F261" i="20"/>
  <c r="G261" i="20"/>
  <c r="H261" i="20"/>
  <c r="F241" i="20"/>
  <c r="G241" i="20"/>
  <c r="H241" i="20"/>
  <c r="F49" i="20"/>
  <c r="G49" i="20"/>
  <c r="H49" i="20"/>
  <c r="F360" i="20"/>
  <c r="G360" i="20"/>
  <c r="H360" i="20"/>
  <c r="F62" i="20"/>
  <c r="G62" i="20"/>
  <c r="H62" i="20"/>
  <c r="F116" i="20"/>
  <c r="G116" i="20"/>
  <c r="H116" i="20"/>
  <c r="F10" i="20"/>
  <c r="G10" i="20"/>
  <c r="H10" i="20"/>
  <c r="F196" i="20"/>
  <c r="G196" i="20"/>
  <c r="H196" i="20"/>
  <c r="F197" i="20"/>
  <c r="G197" i="20"/>
  <c r="H197" i="20"/>
  <c r="F28" i="20"/>
  <c r="G28" i="20"/>
  <c r="H28" i="20"/>
  <c r="F118" i="20"/>
  <c r="G118" i="20"/>
  <c r="H118" i="20"/>
  <c r="F247" i="20"/>
  <c r="G247" i="20"/>
  <c r="H247" i="20"/>
  <c r="F287" i="20"/>
  <c r="G287" i="20"/>
  <c r="H287" i="20"/>
  <c r="F281" i="20"/>
  <c r="G281" i="20"/>
  <c r="H281" i="20"/>
  <c r="F334" i="20"/>
  <c r="G334" i="20"/>
  <c r="H334" i="20"/>
  <c r="F361" i="20"/>
  <c r="G361" i="20"/>
  <c r="H361" i="20"/>
  <c r="F135" i="20"/>
  <c r="G135" i="20"/>
  <c r="H135" i="20"/>
  <c r="F188" i="20"/>
  <c r="G188" i="20"/>
  <c r="H188" i="20"/>
  <c r="F152" i="20"/>
  <c r="G152" i="20"/>
  <c r="H152" i="20"/>
  <c r="F155" i="20"/>
  <c r="G155" i="20"/>
  <c r="H155" i="20"/>
  <c r="F256" i="20"/>
  <c r="G256" i="20"/>
  <c r="H256" i="20"/>
  <c r="F205" i="20"/>
  <c r="G205" i="20"/>
  <c r="H205" i="20"/>
  <c r="F212" i="20"/>
  <c r="G212" i="20"/>
  <c r="H212" i="20"/>
  <c r="F40" i="20"/>
  <c r="G40" i="20"/>
  <c r="H40" i="20"/>
  <c r="F232" i="20"/>
  <c r="G232" i="20"/>
  <c r="H232" i="20"/>
  <c r="F179" i="20"/>
  <c r="G179" i="20"/>
  <c r="H179" i="20"/>
  <c r="F335" i="20"/>
  <c r="G335" i="20"/>
  <c r="H335" i="20"/>
  <c r="F303" i="20"/>
  <c r="G303" i="20"/>
  <c r="H303" i="20"/>
  <c r="F168" i="20"/>
  <c r="G168" i="20"/>
  <c r="H168" i="20"/>
  <c r="F192" i="20"/>
  <c r="G192" i="20"/>
  <c r="H192" i="20"/>
  <c r="F325" i="20"/>
  <c r="G325" i="20"/>
  <c r="H325" i="20"/>
  <c r="F221" i="20"/>
  <c r="G221" i="20"/>
  <c r="H221" i="20"/>
  <c r="F329" i="20"/>
  <c r="G329" i="20"/>
  <c r="H329" i="20"/>
  <c r="F144" i="20"/>
  <c r="G144" i="20"/>
  <c r="H144" i="20"/>
  <c r="F80" i="20"/>
  <c r="G80" i="20"/>
  <c r="H80" i="20"/>
  <c r="F69" i="20"/>
  <c r="G69" i="20"/>
  <c r="H69" i="20"/>
  <c r="F147" i="20"/>
  <c r="G147" i="20"/>
  <c r="H147" i="20"/>
  <c r="F67" i="20"/>
  <c r="G67" i="20"/>
  <c r="H67" i="20"/>
  <c r="F282" i="20"/>
  <c r="G282" i="20"/>
  <c r="H282" i="20"/>
  <c r="F353" i="20"/>
  <c r="G353" i="20"/>
  <c r="H353" i="20"/>
  <c r="F216" i="20"/>
  <c r="G216" i="20"/>
  <c r="H216" i="20"/>
  <c r="F321" i="20"/>
  <c r="G321" i="20"/>
  <c r="H321" i="20"/>
  <c r="F217" i="20"/>
  <c r="G217" i="20"/>
  <c r="H217" i="20"/>
  <c r="F9" i="20"/>
  <c r="G9" i="20"/>
  <c r="H9" i="20"/>
  <c r="F55" i="20"/>
  <c r="G55" i="20"/>
  <c r="H55" i="20"/>
  <c r="F362" i="20"/>
  <c r="G362" i="20"/>
  <c r="H362" i="20"/>
  <c r="F222" i="20"/>
  <c r="G222" i="20"/>
  <c r="H222" i="20"/>
  <c r="F93" i="20"/>
  <c r="G93" i="20"/>
  <c r="H93" i="20"/>
  <c r="F72" i="20"/>
  <c r="G72" i="20"/>
  <c r="H72" i="20"/>
  <c r="F169" i="20"/>
  <c r="G169" i="20"/>
  <c r="H169" i="20"/>
  <c r="F161" i="20"/>
  <c r="G161" i="20"/>
  <c r="H161" i="20"/>
  <c r="F64" i="20"/>
  <c r="G64" i="20"/>
  <c r="H64" i="20"/>
  <c r="F267" i="20"/>
  <c r="G267" i="20"/>
  <c r="H267" i="20"/>
  <c r="F297" i="20"/>
  <c r="G297" i="20"/>
  <c r="H297" i="20"/>
  <c r="F243" i="20"/>
  <c r="G243" i="20"/>
  <c r="H243" i="20"/>
  <c r="F70" i="20"/>
  <c r="G70" i="20"/>
  <c r="H70" i="20"/>
  <c r="F129" i="20"/>
  <c r="G129" i="20"/>
  <c r="H129" i="20"/>
  <c r="F214" i="20"/>
  <c r="G214" i="20"/>
  <c r="H214" i="20"/>
  <c r="F342" i="20"/>
  <c r="G342" i="20"/>
  <c r="H342" i="20"/>
  <c r="F299" i="20"/>
  <c r="G299" i="20"/>
  <c r="H299" i="20"/>
  <c r="F146" i="20"/>
  <c r="G146" i="20"/>
  <c r="H146" i="20"/>
  <c r="F90" i="20"/>
  <c r="G90" i="20"/>
  <c r="H90" i="20"/>
  <c r="F154" i="20"/>
  <c r="G154" i="20"/>
  <c r="H154" i="20"/>
  <c r="F76" i="20"/>
  <c r="G76" i="20"/>
  <c r="H76" i="20"/>
  <c r="F50" i="20"/>
  <c r="G50" i="20"/>
  <c r="H50" i="20"/>
  <c r="F344" i="20"/>
  <c r="G344" i="20"/>
  <c r="H344" i="20"/>
  <c r="F107" i="20"/>
  <c r="G107" i="20"/>
  <c r="H107" i="20"/>
  <c r="F190" i="20"/>
  <c r="G190" i="20"/>
  <c r="H190" i="20"/>
  <c r="F296" i="20"/>
  <c r="G296" i="20"/>
  <c r="H296" i="20"/>
  <c r="F97" i="20"/>
  <c r="G97" i="20"/>
  <c r="H97" i="20"/>
  <c r="F210" i="20"/>
  <c r="G210" i="20"/>
  <c r="H210" i="20"/>
  <c r="F119" i="20"/>
  <c r="G119" i="20"/>
  <c r="H119" i="20"/>
  <c r="F295" i="20"/>
  <c r="G295" i="20"/>
  <c r="H295" i="20"/>
  <c r="F8" i="20"/>
  <c r="G8" i="20"/>
  <c r="H8" i="20"/>
  <c r="F347" i="20"/>
  <c r="G347" i="20"/>
  <c r="H347" i="20"/>
  <c r="F162" i="20"/>
  <c r="G162" i="20"/>
  <c r="H162" i="20"/>
  <c r="F95" i="20"/>
  <c r="G95" i="20"/>
  <c r="H95" i="20"/>
  <c r="F34" i="20"/>
  <c r="G34" i="20"/>
  <c r="H34" i="20"/>
  <c r="F239" i="20"/>
  <c r="G239" i="20"/>
  <c r="H239" i="20"/>
  <c r="F352" i="20"/>
  <c r="G352" i="20"/>
  <c r="H352" i="20"/>
  <c r="F258" i="20"/>
  <c r="G258" i="20"/>
  <c r="H258" i="20"/>
  <c r="F176" i="20"/>
  <c r="G176" i="20"/>
  <c r="H176" i="20"/>
  <c r="F191" i="20"/>
  <c r="G191" i="20"/>
  <c r="H191" i="20"/>
  <c r="F186" i="20"/>
  <c r="G186" i="20"/>
  <c r="H186" i="20"/>
  <c r="F280" i="20"/>
  <c r="G280" i="20"/>
  <c r="H280" i="20"/>
  <c r="F13" i="20"/>
  <c r="G13" i="20"/>
  <c r="H13" i="20"/>
  <c r="F156" i="20"/>
  <c r="G156" i="20"/>
  <c r="H156" i="20"/>
  <c r="F271" i="20"/>
  <c r="G271" i="20"/>
  <c r="H271" i="20"/>
  <c r="F36" i="20"/>
  <c r="G36" i="20"/>
  <c r="H36" i="20"/>
  <c r="F74" i="20"/>
  <c r="G74" i="20"/>
  <c r="H74" i="20"/>
  <c r="F294" i="20"/>
  <c r="G294" i="20"/>
  <c r="H294" i="20"/>
  <c r="F111" i="20"/>
  <c r="G111" i="20"/>
  <c r="H111" i="20"/>
  <c r="F158" i="20"/>
  <c r="G158" i="20"/>
  <c r="H158" i="20"/>
  <c r="F231" i="20"/>
  <c r="G231" i="20"/>
  <c r="H231" i="20"/>
  <c r="F277" i="20"/>
  <c r="G277" i="20"/>
  <c r="H277" i="20"/>
  <c r="F337" i="20"/>
  <c r="G337" i="20"/>
  <c r="H337" i="20"/>
  <c r="F75" i="20"/>
  <c r="G75" i="20"/>
  <c r="H75" i="20"/>
  <c r="F31" i="20"/>
  <c r="G31" i="20"/>
  <c r="H31" i="20"/>
  <c r="F105" i="20"/>
  <c r="G105" i="20"/>
  <c r="H105" i="20"/>
  <c r="F12" i="20"/>
  <c r="G12" i="20"/>
  <c r="H12" i="20"/>
  <c r="F96" i="20"/>
  <c r="G96" i="20"/>
  <c r="H96" i="20"/>
  <c r="F251" i="20"/>
  <c r="G251" i="20"/>
  <c r="H251" i="20"/>
  <c r="F61" i="20"/>
  <c r="G61" i="20"/>
  <c r="H61" i="20"/>
  <c r="F207" i="20"/>
  <c r="G207" i="20"/>
  <c r="H207" i="20"/>
  <c r="F181" i="20"/>
  <c r="G181" i="20"/>
  <c r="H181" i="20"/>
  <c r="F52" i="20"/>
  <c r="G52" i="20"/>
  <c r="H52" i="20"/>
  <c r="F253" i="20"/>
  <c r="G253" i="20"/>
  <c r="H253" i="20"/>
  <c r="F331" i="20"/>
  <c r="G331" i="20"/>
  <c r="H331" i="20"/>
  <c r="F302" i="20"/>
  <c r="G302" i="20"/>
  <c r="H302" i="20"/>
  <c r="F293" i="20"/>
  <c r="G293" i="20"/>
  <c r="H293" i="20"/>
  <c r="F269" i="20"/>
  <c r="G269" i="20"/>
  <c r="H269" i="20"/>
  <c r="F279" i="20"/>
  <c r="G279" i="20"/>
  <c r="H279" i="20"/>
  <c r="F153" i="20"/>
  <c r="G153" i="20"/>
  <c r="H153" i="20"/>
  <c r="F248" i="20"/>
  <c r="G248" i="20"/>
  <c r="H248" i="20"/>
  <c r="F160" i="20"/>
  <c r="G160" i="20"/>
  <c r="H160" i="20"/>
  <c r="F284" i="20"/>
  <c r="G284" i="20"/>
  <c r="H284" i="20"/>
  <c r="F86" i="20"/>
  <c r="G86" i="20"/>
  <c r="H86" i="20"/>
  <c r="F332" i="20"/>
  <c r="G332" i="20"/>
  <c r="H332" i="20"/>
  <c r="F121" i="20"/>
  <c r="G121" i="20"/>
  <c r="H121" i="20"/>
  <c r="F16" i="20"/>
  <c r="G16" i="20"/>
  <c r="H16" i="20"/>
  <c r="F215" i="20"/>
  <c r="G215" i="20"/>
  <c r="H215" i="20"/>
  <c r="F285" i="20"/>
  <c r="G285" i="20"/>
  <c r="H285" i="20"/>
  <c r="F301" i="20"/>
  <c r="G301" i="20"/>
  <c r="H301" i="20"/>
  <c r="F157" i="20"/>
  <c r="G157" i="20"/>
  <c r="H157" i="20"/>
  <c r="F44" i="20"/>
  <c r="G44" i="20"/>
  <c r="H44" i="20"/>
  <c r="F220" i="20"/>
  <c r="G220" i="20"/>
  <c r="H220" i="20"/>
  <c r="F27" i="20"/>
  <c r="G27" i="20"/>
  <c r="H27" i="20"/>
  <c r="F326" i="20"/>
  <c r="G326" i="20"/>
  <c r="H326" i="20"/>
  <c r="F130" i="20"/>
  <c r="G130" i="20"/>
  <c r="H130" i="20"/>
  <c r="F226" i="20"/>
  <c r="G226" i="20"/>
  <c r="H226" i="20"/>
  <c r="F249" i="20"/>
  <c r="G249" i="20"/>
  <c r="H249" i="20"/>
  <c r="F320" i="20"/>
  <c r="G320" i="20"/>
  <c r="H320" i="20"/>
  <c r="F149" i="20"/>
  <c r="G149" i="20"/>
  <c r="H149" i="20"/>
  <c r="F43" i="20"/>
  <c r="G43" i="20"/>
  <c r="H43" i="20"/>
  <c r="F7" i="20"/>
  <c r="G7" i="20"/>
  <c r="H7" i="20"/>
  <c r="F260" i="20"/>
  <c r="G260" i="20"/>
  <c r="H260" i="20"/>
  <c r="F198" i="20"/>
  <c r="G198" i="20"/>
  <c r="H198" i="20"/>
  <c r="F354" i="20"/>
  <c r="G354" i="20"/>
  <c r="H354" i="20"/>
  <c r="F139" i="20"/>
  <c r="G139" i="20"/>
  <c r="H139" i="20"/>
  <c r="F357" i="20"/>
  <c r="G357" i="20"/>
  <c r="H357" i="20"/>
  <c r="F336" i="20"/>
  <c r="G336" i="20"/>
  <c r="H336" i="20"/>
  <c r="F85" i="20"/>
  <c r="G85" i="20"/>
  <c r="H85" i="20"/>
  <c r="F138" i="20"/>
  <c r="G138" i="20"/>
  <c r="H138" i="20"/>
  <c r="F233" i="20"/>
  <c r="G233" i="20"/>
  <c r="H233" i="20"/>
  <c r="F306" i="20"/>
  <c r="G306" i="20"/>
  <c r="H306" i="20"/>
  <c r="F227" i="20"/>
  <c r="G227" i="20"/>
  <c r="H227" i="20"/>
  <c r="F213" i="20"/>
  <c r="G213" i="20"/>
  <c r="H213" i="20"/>
  <c r="F292" i="20"/>
  <c r="G292" i="20"/>
  <c r="H292" i="20"/>
  <c r="F187" i="20"/>
  <c r="G187" i="20"/>
  <c r="H187" i="20"/>
  <c r="F358" i="20"/>
  <c r="G358" i="20"/>
  <c r="H358" i="20"/>
  <c r="F327" i="20"/>
  <c r="G327" i="20"/>
  <c r="H327" i="20"/>
  <c r="F235" i="20"/>
  <c r="G235" i="20"/>
  <c r="H235" i="20"/>
  <c r="F236" i="20"/>
  <c r="G236" i="20"/>
  <c r="H236" i="20"/>
  <c r="F174" i="20"/>
  <c r="G174" i="20"/>
  <c r="H174" i="20"/>
  <c r="F263" i="20"/>
  <c r="G263" i="20"/>
  <c r="H263" i="20"/>
  <c r="F124" i="20"/>
  <c r="G124" i="20"/>
  <c r="H124" i="20"/>
  <c r="F99" i="20"/>
  <c r="G99" i="20"/>
  <c r="H99" i="20"/>
  <c r="F317" i="20"/>
  <c r="G317" i="20"/>
  <c r="H317" i="20"/>
  <c r="F104" i="20"/>
  <c r="G104" i="20"/>
  <c r="H104" i="20"/>
  <c r="F175" i="20"/>
  <c r="G175" i="20"/>
  <c r="H175" i="20"/>
  <c r="F100" i="20"/>
  <c r="G100" i="20"/>
  <c r="H100" i="20"/>
  <c r="F57" i="20"/>
  <c r="G57" i="20"/>
  <c r="H57" i="20"/>
  <c r="F41" i="20"/>
  <c r="G41" i="20"/>
  <c r="H41" i="20"/>
  <c r="F363" i="20"/>
  <c r="G363" i="20"/>
  <c r="H363" i="20"/>
  <c r="F312" i="20"/>
  <c r="G312" i="20"/>
  <c r="H312" i="20"/>
  <c r="F237" i="20"/>
  <c r="G237" i="20"/>
  <c r="H237" i="20"/>
  <c r="F228" i="20"/>
  <c r="G228" i="20"/>
  <c r="H228" i="20"/>
  <c r="F79" i="20"/>
  <c r="G79" i="20"/>
  <c r="H79" i="20"/>
  <c r="F319" i="20"/>
  <c r="G319" i="20"/>
  <c r="H319" i="20"/>
  <c r="F341" i="20"/>
  <c r="G341" i="20"/>
  <c r="H341" i="20"/>
  <c r="F15" i="20"/>
  <c r="G15" i="20"/>
  <c r="H15" i="20"/>
  <c r="F113" i="20"/>
  <c r="G113" i="20"/>
  <c r="H113" i="20"/>
  <c r="F343" i="20"/>
  <c r="G343" i="20"/>
  <c r="H343" i="20"/>
  <c r="F51" i="20"/>
  <c r="G51" i="20"/>
  <c r="H51" i="20"/>
  <c r="F102" i="20"/>
  <c r="G102" i="20"/>
  <c r="H102" i="20"/>
  <c r="F328" i="20"/>
  <c r="G328" i="20"/>
  <c r="H328" i="20"/>
  <c r="F324" i="20"/>
  <c r="G324" i="20"/>
  <c r="H324" i="20"/>
  <c r="F20" i="20"/>
  <c r="G20" i="20"/>
  <c r="H20" i="20"/>
  <c r="F163" i="20"/>
  <c r="G163" i="20"/>
  <c r="H163" i="20"/>
  <c r="F274" i="20"/>
  <c r="G274" i="20"/>
  <c r="H274" i="20"/>
  <c r="F351" i="20"/>
  <c r="G351" i="20"/>
  <c r="H351" i="20"/>
  <c r="F136" i="20"/>
  <c r="G136" i="20"/>
  <c r="H136" i="20"/>
  <c r="F170" i="20"/>
  <c r="G170" i="20"/>
  <c r="H170" i="20"/>
  <c r="F132" i="20"/>
  <c r="G132" i="20"/>
  <c r="H132" i="20"/>
  <c r="F23" i="20"/>
  <c r="G23" i="20"/>
  <c r="H23" i="20"/>
  <c r="F238" i="20"/>
  <c r="G238" i="20"/>
  <c r="H238" i="20"/>
  <c r="F47" i="20"/>
  <c r="G47" i="20"/>
  <c r="H47" i="20"/>
  <c r="F18" i="20"/>
  <c r="G18" i="20"/>
  <c r="H18" i="20"/>
  <c r="F330" i="20"/>
  <c r="G330" i="20"/>
  <c r="H330" i="20"/>
  <c r="F193" i="20"/>
  <c r="G193" i="20"/>
  <c r="H193" i="20"/>
  <c r="F171" i="20"/>
  <c r="G171" i="20"/>
  <c r="H171" i="20"/>
  <c r="F350" i="20"/>
  <c r="G350" i="20"/>
  <c r="H350" i="20"/>
  <c r="F125" i="20"/>
  <c r="G125" i="20"/>
  <c r="H125" i="20"/>
  <c r="F63" i="20"/>
  <c r="G63" i="20"/>
  <c r="H63" i="20"/>
  <c r="F89" i="20"/>
  <c r="G89" i="20"/>
  <c r="H89" i="20"/>
  <c r="F313" i="20"/>
  <c r="G313" i="20"/>
  <c r="H313" i="20"/>
  <c r="F204" i="20"/>
  <c r="G204" i="20"/>
  <c r="H204" i="20"/>
  <c r="F185" i="20"/>
  <c r="G185" i="20"/>
  <c r="H185" i="20"/>
  <c r="F202" i="20"/>
  <c r="G202" i="20"/>
  <c r="H202" i="20"/>
  <c r="F26" i="20"/>
  <c r="G26" i="20"/>
  <c r="H26" i="20"/>
  <c r="F42" i="20"/>
  <c r="G42" i="20"/>
  <c r="H42" i="20"/>
  <c r="A11" i="18"/>
  <c r="F33" i="19"/>
  <c r="E41" i="19"/>
  <c r="E66" i="19"/>
  <c r="E53" i="19"/>
  <c r="E50" i="19"/>
  <c r="E42" i="19"/>
  <c r="E63" i="19"/>
  <c r="E38" i="19"/>
  <c r="M5" i="20"/>
  <c r="E43" i="19"/>
  <c r="E4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E54" i="19"/>
  <c r="E44" i="19"/>
  <c r="B22" i="19"/>
  <c r="B19" i="19"/>
  <c r="B17" i="19"/>
  <c r="B7" i="20"/>
  <c r="L6" i="20"/>
  <c r="E61" i="19"/>
  <c r="E40" i="19"/>
  <c r="E56" i="19"/>
  <c r="E46" i="19"/>
  <c r="E59" i="19"/>
  <c r="E62" i="19"/>
  <c r="E49" i="19"/>
  <c r="E51" i="19"/>
  <c r="J7" i="20"/>
  <c r="K6" i="20"/>
  <c r="O5" i="20"/>
  <c r="O6" i="20"/>
  <c r="E52" i="19"/>
  <c r="E58" i="19"/>
  <c r="E65" i="19"/>
  <c r="F29" i="19"/>
  <c r="A15" i="18"/>
  <c r="A12" i="18"/>
  <c r="M6" i="20"/>
  <c r="E67" i="19"/>
  <c r="C67" i="19"/>
  <c r="C23" i="19"/>
  <c r="B23" i="19"/>
  <c r="B24" i="19"/>
  <c r="K7" i="20"/>
  <c r="J8" i="20"/>
  <c r="N7" i="20"/>
  <c r="O7" i="20"/>
  <c r="L7" i="20"/>
  <c r="B8" i="20"/>
  <c r="B20" i="19"/>
  <c r="B32" i="19"/>
  <c r="I68" i="19"/>
  <c r="I70" i="19"/>
  <c r="M7" i="20"/>
  <c r="B26" i="19"/>
  <c r="B37" i="19"/>
  <c r="C24" i="19"/>
  <c r="B25" i="19"/>
  <c r="K8" i="20"/>
  <c r="J9" i="20"/>
  <c r="N8" i="20"/>
  <c r="O8" i="20"/>
  <c r="B9" i="20"/>
  <c r="L8" i="20"/>
  <c r="B27" i="19"/>
  <c r="B10" i="20"/>
  <c r="L9" i="20"/>
  <c r="M8" i="20"/>
  <c r="B38" i="19"/>
  <c r="G37" i="19"/>
  <c r="H37" i="19"/>
  <c r="J37" i="19"/>
  <c r="F34" i="19"/>
  <c r="A13" i="18"/>
  <c r="F30" i="19"/>
  <c r="A16" i="18"/>
  <c r="J10" i="20"/>
  <c r="K9" i="20"/>
  <c r="N9" i="20"/>
  <c r="O9" i="20"/>
  <c r="M9" i="20"/>
  <c r="G38" i="19"/>
  <c r="H38" i="19"/>
  <c r="I38" i="19"/>
  <c r="B39" i="19"/>
  <c r="J38" i="19"/>
  <c r="B11" i="20"/>
  <c r="L10" i="20"/>
  <c r="M10" i="20"/>
  <c r="I37" i="19"/>
  <c r="J11" i="20"/>
  <c r="K10" i="20"/>
  <c r="N10" i="20"/>
  <c r="O10" i="20"/>
  <c r="L38" i="19"/>
  <c r="K38" i="19"/>
  <c r="B12" i="20"/>
  <c r="L11" i="20"/>
  <c r="M11" i="20"/>
  <c r="L37" i="19"/>
  <c r="K37" i="19"/>
  <c r="F28" i="19"/>
  <c r="K11" i="20"/>
  <c r="J12" i="20"/>
  <c r="N11" i="20"/>
  <c r="O11" i="20"/>
  <c r="H39" i="19"/>
  <c r="G39" i="19"/>
  <c r="I39" i="19"/>
  <c r="B40" i="19"/>
  <c r="J39" i="19"/>
  <c r="K12" i="20"/>
  <c r="J13" i="20"/>
  <c r="N12" i="20"/>
  <c r="O12" i="20"/>
  <c r="L12" i="20"/>
  <c r="M12" i="20"/>
  <c r="B13" i="20"/>
  <c r="K39" i="19"/>
  <c r="L39" i="19"/>
  <c r="G40" i="19"/>
  <c r="B41" i="19"/>
  <c r="H40" i="19"/>
  <c r="I40" i="19"/>
  <c r="J40" i="19"/>
  <c r="K40" i="19"/>
  <c r="L40" i="19"/>
  <c r="J14" i="20"/>
  <c r="K13" i="20"/>
  <c r="N13" i="20"/>
  <c r="O13" i="20"/>
  <c r="B42" i="19"/>
  <c r="G41" i="19"/>
  <c r="H41" i="19"/>
  <c r="I41" i="19"/>
  <c r="J41" i="19"/>
  <c r="L13" i="20"/>
  <c r="M13" i="20"/>
  <c r="B14" i="20"/>
  <c r="K41" i="19"/>
  <c r="L41" i="19"/>
  <c r="B15" i="20"/>
  <c r="L14" i="20"/>
  <c r="M14" i="20"/>
  <c r="B43" i="19"/>
  <c r="H42" i="19"/>
  <c r="I42" i="19"/>
  <c r="G42" i="19"/>
  <c r="J42" i="19"/>
  <c r="J15" i="20"/>
  <c r="K14" i="20"/>
  <c r="N14" i="20"/>
  <c r="O14" i="20"/>
  <c r="K42" i="19"/>
  <c r="L42" i="19"/>
  <c r="B44" i="19"/>
  <c r="G43" i="19"/>
  <c r="H43" i="19"/>
  <c r="I43" i="19"/>
  <c r="J43" i="19"/>
  <c r="B16" i="20"/>
  <c r="L15" i="20"/>
  <c r="M15" i="20"/>
  <c r="J16" i="20"/>
  <c r="K15" i="20"/>
  <c r="N15" i="20"/>
  <c r="O15" i="20"/>
  <c r="L43" i="19"/>
  <c r="K43" i="19"/>
  <c r="L16" i="20"/>
  <c r="M16" i="20"/>
  <c r="B17" i="20"/>
  <c r="H44" i="19"/>
  <c r="I44" i="19"/>
  <c r="G44" i="19"/>
  <c r="B45" i="19"/>
  <c r="J44" i="19"/>
  <c r="K16" i="20"/>
  <c r="J17" i="20"/>
  <c r="N16" i="20"/>
  <c r="O16" i="20"/>
  <c r="B18" i="20"/>
  <c r="L17" i="20"/>
  <c r="M17" i="20"/>
  <c r="H45" i="19"/>
  <c r="I45" i="19"/>
  <c r="B46" i="19"/>
  <c r="G45" i="19"/>
  <c r="J45" i="19"/>
  <c r="K44" i="19"/>
  <c r="L44" i="19"/>
  <c r="K17" i="20"/>
  <c r="J18" i="20"/>
  <c r="N17" i="20"/>
  <c r="O17" i="20"/>
  <c r="K45" i="19"/>
  <c r="L45" i="19"/>
  <c r="H46" i="19"/>
  <c r="I46" i="19"/>
  <c r="B47" i="19"/>
  <c r="G46" i="19"/>
  <c r="J46" i="19"/>
  <c r="B19" i="20"/>
  <c r="L18" i="20"/>
  <c r="M18" i="20"/>
  <c r="K18" i="20"/>
  <c r="J19" i="20"/>
  <c r="N18" i="20"/>
  <c r="O18" i="20"/>
  <c r="L46" i="19"/>
  <c r="K46" i="19"/>
  <c r="H47" i="19"/>
  <c r="I47" i="19"/>
  <c r="B48" i="19"/>
  <c r="G47" i="19"/>
  <c r="J47" i="19"/>
  <c r="L19" i="20"/>
  <c r="M19" i="20"/>
  <c r="B20" i="20"/>
  <c r="J20" i="20"/>
  <c r="K19" i="20"/>
  <c r="N19" i="20"/>
  <c r="O19" i="20"/>
  <c r="L47" i="19"/>
  <c r="K47" i="19"/>
  <c r="B49" i="19"/>
  <c r="H48" i="19"/>
  <c r="I48" i="19"/>
  <c r="G48" i="19"/>
  <c r="J48" i="19"/>
  <c r="K20" i="20"/>
  <c r="J21" i="20"/>
  <c r="N20" i="20"/>
  <c r="O20" i="20"/>
  <c r="B21" i="20"/>
  <c r="L20" i="20"/>
  <c r="M20" i="20"/>
  <c r="K48" i="19"/>
  <c r="L48" i="19"/>
  <c r="H49" i="19"/>
  <c r="I49" i="19"/>
  <c r="B50" i="19"/>
  <c r="G49" i="19"/>
  <c r="J49" i="19"/>
  <c r="J22" i="20"/>
  <c r="K21" i="20"/>
  <c r="N21" i="20"/>
  <c r="O21" i="20"/>
  <c r="B22" i="20"/>
  <c r="L21" i="20"/>
  <c r="M21" i="20"/>
  <c r="K49" i="19"/>
  <c r="L49" i="19"/>
  <c r="B51" i="19"/>
  <c r="G50" i="19"/>
  <c r="H50" i="19"/>
  <c r="I50" i="19"/>
  <c r="J50" i="19"/>
  <c r="J23" i="20"/>
  <c r="K22" i="20"/>
  <c r="N22" i="20"/>
  <c r="O22" i="20"/>
  <c r="B23" i="20"/>
  <c r="L22" i="20"/>
  <c r="M22" i="20"/>
  <c r="L50" i="19"/>
  <c r="K50" i="19"/>
  <c r="K23" i="20"/>
  <c r="J24" i="20"/>
  <c r="N23" i="20"/>
  <c r="O23" i="20"/>
  <c r="B52" i="19"/>
  <c r="H51" i="19"/>
  <c r="I51" i="19"/>
  <c r="G51" i="19"/>
  <c r="J51" i="19"/>
  <c r="L23" i="20"/>
  <c r="M23" i="20"/>
  <c r="B24" i="20"/>
  <c r="L51" i="19"/>
  <c r="K51" i="19"/>
  <c r="K24" i="20"/>
  <c r="J25" i="20"/>
  <c r="N24" i="20"/>
  <c r="O24" i="20"/>
  <c r="L24" i="20"/>
  <c r="M24" i="20"/>
  <c r="B25" i="20"/>
  <c r="B53" i="19"/>
  <c r="H52" i="19"/>
  <c r="I52" i="19"/>
  <c r="G52" i="19"/>
  <c r="J52" i="19"/>
  <c r="K25" i="20"/>
  <c r="J26" i="20"/>
  <c r="N25" i="20"/>
  <c r="O25" i="20"/>
  <c r="G53" i="19"/>
  <c r="H53" i="19"/>
  <c r="I53" i="19"/>
  <c r="B54" i="19"/>
  <c r="J53" i="19"/>
  <c r="L52" i="19"/>
  <c r="K52" i="19"/>
  <c r="B26" i="20"/>
  <c r="L25" i="20"/>
  <c r="M25" i="20"/>
  <c r="K53" i="19"/>
  <c r="L53" i="19"/>
  <c r="H54" i="19"/>
  <c r="B55" i="19"/>
  <c r="G54" i="19"/>
  <c r="I54" i="19"/>
  <c r="J54" i="19"/>
  <c r="J27" i="20"/>
  <c r="K26" i="20"/>
  <c r="N26" i="20"/>
  <c r="O26" i="20"/>
  <c r="B27" i="20"/>
  <c r="L26" i="20"/>
  <c r="M26" i="20"/>
  <c r="K27" i="20"/>
  <c r="J28" i="20"/>
  <c r="N27" i="20"/>
  <c r="O27" i="20"/>
  <c r="L54" i="19"/>
  <c r="K54" i="19"/>
  <c r="B56" i="19"/>
  <c r="H55" i="19"/>
  <c r="I55" i="19"/>
  <c r="G55" i="19"/>
  <c r="J55" i="19"/>
  <c r="L27" i="20"/>
  <c r="M27" i="20"/>
  <c r="B28" i="20"/>
  <c r="L55" i="19"/>
  <c r="K55" i="19"/>
  <c r="K28" i="20"/>
  <c r="J29" i="20"/>
  <c r="N28" i="20"/>
  <c r="O28" i="20"/>
  <c r="B57" i="19"/>
  <c r="G56" i="19"/>
  <c r="H56" i="19"/>
  <c r="I56" i="19"/>
  <c r="J56" i="19"/>
  <c r="B29" i="20"/>
  <c r="L28" i="20"/>
  <c r="M28" i="20"/>
  <c r="K56" i="19"/>
  <c r="L56" i="19"/>
  <c r="G57" i="19"/>
  <c r="H57" i="19"/>
  <c r="I57" i="19"/>
  <c r="B58" i="19"/>
  <c r="J57" i="19"/>
  <c r="J30" i="20"/>
  <c r="K29" i="20"/>
  <c r="N29" i="20"/>
  <c r="O29" i="20"/>
  <c r="B30" i="20"/>
  <c r="L29" i="20"/>
  <c r="M29" i="20"/>
  <c r="K57" i="19"/>
  <c r="L57" i="19"/>
  <c r="G58" i="19"/>
  <c r="H58" i="19"/>
  <c r="I58" i="19"/>
  <c r="B59" i="19"/>
  <c r="J58" i="19"/>
  <c r="K30" i="20"/>
  <c r="J31" i="20"/>
  <c r="N30" i="20"/>
  <c r="O30" i="20"/>
  <c r="B31" i="20"/>
  <c r="L30" i="20"/>
  <c r="M30" i="20"/>
  <c r="L58" i="19"/>
  <c r="K58" i="19"/>
  <c r="K31" i="20"/>
  <c r="J32" i="20"/>
  <c r="N31" i="20"/>
  <c r="O31" i="20"/>
  <c r="H59" i="19"/>
  <c r="G59" i="19"/>
  <c r="I59" i="19"/>
  <c r="B60" i="19"/>
  <c r="J59" i="19"/>
  <c r="L31" i="20"/>
  <c r="M31" i="20"/>
  <c r="B32" i="20"/>
  <c r="G60" i="19"/>
  <c r="H60" i="19"/>
  <c r="I60" i="19"/>
  <c r="B61" i="19"/>
  <c r="J60" i="19"/>
  <c r="J33" i="20"/>
  <c r="K32" i="20"/>
  <c r="N32" i="20"/>
  <c r="L59" i="19"/>
  <c r="K59" i="19"/>
  <c r="O32" i="20"/>
  <c r="B33" i="20"/>
  <c r="L32" i="20"/>
  <c r="M32" i="20"/>
  <c r="K60" i="19"/>
  <c r="L60" i="19"/>
  <c r="G61" i="19"/>
  <c r="H61" i="19"/>
  <c r="I61" i="19"/>
  <c r="B62" i="19"/>
  <c r="J61" i="19"/>
  <c r="K33" i="20"/>
  <c r="J34" i="20"/>
  <c r="N33" i="20"/>
  <c r="O33" i="20"/>
  <c r="L33" i="20"/>
  <c r="M33" i="20"/>
  <c r="B34" i="20"/>
  <c r="L61" i="19"/>
  <c r="K61" i="19"/>
  <c r="B63" i="19"/>
  <c r="G62" i="19"/>
  <c r="H62" i="19"/>
  <c r="I62" i="19"/>
  <c r="J62" i="19"/>
  <c r="J35" i="20"/>
  <c r="K34" i="20"/>
  <c r="N34" i="20"/>
  <c r="O34" i="20"/>
  <c r="B35" i="20"/>
  <c r="L34" i="20"/>
  <c r="M34" i="20"/>
  <c r="L62" i="19"/>
  <c r="K62" i="19"/>
  <c r="L35" i="20"/>
  <c r="M35" i="20"/>
  <c r="B36" i="20"/>
  <c r="B64" i="19"/>
  <c r="H63" i="19"/>
  <c r="I63" i="19"/>
  <c r="G63" i="19"/>
  <c r="J63" i="19"/>
  <c r="J36" i="20"/>
  <c r="K35" i="20"/>
  <c r="N35" i="20"/>
  <c r="O35" i="20"/>
  <c r="B37" i="20"/>
  <c r="L36" i="20"/>
  <c r="M36" i="20"/>
  <c r="K36" i="20"/>
  <c r="J37" i="20"/>
  <c r="N36" i="20"/>
  <c r="O36" i="20"/>
  <c r="L63" i="19"/>
  <c r="K63" i="19"/>
  <c r="G64" i="19"/>
  <c r="B65" i="19"/>
  <c r="H64" i="19"/>
  <c r="I64" i="19"/>
  <c r="J64" i="19"/>
  <c r="B38" i="20"/>
  <c r="L37" i="20"/>
  <c r="M37" i="20"/>
  <c r="B66" i="19"/>
  <c r="G65" i="19"/>
  <c r="H65" i="19"/>
  <c r="I65" i="19"/>
  <c r="J65" i="19"/>
  <c r="K64" i="19"/>
  <c r="L64" i="19"/>
  <c r="K37" i="20"/>
  <c r="J38" i="20"/>
  <c r="N37" i="20"/>
  <c r="O37" i="20"/>
  <c r="L65" i="19"/>
  <c r="K65" i="19"/>
  <c r="J39" i="20"/>
  <c r="K38" i="20"/>
  <c r="N38" i="20"/>
  <c r="O38" i="20"/>
  <c r="G66" i="19"/>
  <c r="G67" i="19"/>
  <c r="H66" i="19"/>
  <c r="H67" i="19"/>
  <c r="J66" i="19"/>
  <c r="B67" i="19"/>
  <c r="J67" i="19"/>
  <c r="L38" i="20"/>
  <c r="M38" i="20"/>
  <c r="B39" i="20"/>
  <c r="J40" i="20"/>
  <c r="K39" i="20"/>
  <c r="N39" i="20"/>
  <c r="O39" i="20"/>
  <c r="I66" i="19"/>
  <c r="L39" i="20"/>
  <c r="M39" i="20"/>
  <c r="B40" i="20"/>
  <c r="B41" i="20"/>
  <c r="L40" i="20"/>
  <c r="M40" i="20"/>
  <c r="L66" i="19"/>
  <c r="K66" i="19"/>
  <c r="I67" i="19"/>
  <c r="J41" i="20"/>
  <c r="K40" i="20"/>
  <c r="N40" i="20"/>
  <c r="O40" i="20"/>
  <c r="K67" i="19"/>
  <c r="I69" i="19"/>
  <c r="I71" i="19"/>
  <c r="I72" i="19"/>
  <c r="L67" i="19"/>
  <c r="B42" i="20"/>
  <c r="L41" i="20"/>
  <c r="M41" i="20"/>
  <c r="J42" i="20"/>
  <c r="K41" i="20"/>
  <c r="N41" i="20"/>
  <c r="O41" i="20"/>
  <c r="L42" i="20"/>
  <c r="M42" i="20"/>
  <c r="B43" i="20"/>
  <c r="J43" i="20"/>
  <c r="K42" i="20"/>
  <c r="N42" i="20"/>
  <c r="O42" i="20"/>
  <c r="K43" i="20"/>
  <c r="J44" i="20"/>
  <c r="N43" i="20"/>
  <c r="O43" i="20"/>
  <c r="B44" i="20"/>
  <c r="L43" i="20"/>
  <c r="M43" i="20"/>
  <c r="J45" i="20"/>
  <c r="K44" i="20"/>
  <c r="N44" i="20"/>
  <c r="O44" i="20"/>
  <c r="B45" i="20"/>
  <c r="L44" i="20"/>
  <c r="M44" i="20"/>
  <c r="L45" i="20"/>
  <c r="M45" i="20"/>
  <c r="B46" i="20"/>
  <c r="J46" i="20"/>
  <c r="K45" i="20"/>
  <c r="N45" i="20"/>
  <c r="O45" i="20"/>
  <c r="K46" i="20"/>
  <c r="J47" i="20"/>
  <c r="N46" i="20"/>
  <c r="O46" i="20"/>
  <c r="B47" i="20"/>
  <c r="L46" i="20"/>
  <c r="M46" i="20"/>
  <c r="B48" i="20"/>
  <c r="L47" i="20"/>
  <c r="M47" i="20"/>
  <c r="J48" i="20"/>
  <c r="K47" i="20"/>
  <c r="N47" i="20"/>
  <c r="O47" i="20"/>
  <c r="K48" i="20"/>
  <c r="J49" i="20"/>
  <c r="N48" i="20"/>
  <c r="O48" i="20"/>
  <c r="B49" i="20"/>
  <c r="L48" i="20"/>
  <c r="M48" i="20"/>
  <c r="J50" i="20"/>
  <c r="K49" i="20"/>
  <c r="N49" i="20"/>
  <c r="O49" i="20"/>
  <c r="B50" i="20"/>
  <c r="L49" i="20"/>
  <c r="M49" i="20"/>
  <c r="B51" i="20"/>
  <c r="L50" i="20"/>
  <c r="M50" i="20"/>
  <c r="K50" i="20"/>
  <c r="J51" i="20"/>
  <c r="N50" i="20"/>
  <c r="O50" i="20"/>
  <c r="B52" i="20"/>
  <c r="L51" i="20"/>
  <c r="M51" i="20"/>
  <c r="K51" i="20"/>
  <c r="J52" i="20"/>
  <c r="N51" i="20"/>
  <c r="O51" i="20"/>
  <c r="K52" i="20"/>
  <c r="J53" i="20"/>
  <c r="N52" i="20"/>
  <c r="O52" i="20"/>
  <c r="B53" i="20"/>
  <c r="L52" i="20"/>
  <c r="M52" i="20"/>
  <c r="K53" i="20"/>
  <c r="J54" i="20"/>
  <c r="N53" i="20"/>
  <c r="O53" i="20"/>
  <c r="L53" i="20"/>
  <c r="M53" i="20"/>
  <c r="B54" i="20"/>
  <c r="L54" i="20"/>
  <c r="M54" i="20"/>
  <c r="B55" i="20"/>
  <c r="J55" i="20"/>
  <c r="K54" i="20"/>
  <c r="N54" i="20"/>
  <c r="O54" i="20"/>
  <c r="K55" i="20"/>
  <c r="J56" i="20"/>
  <c r="N55" i="20"/>
  <c r="O55" i="20"/>
  <c r="B56" i="20"/>
  <c r="L55" i="20"/>
  <c r="M55" i="20"/>
  <c r="K56" i="20"/>
  <c r="J57" i="20"/>
  <c r="N56" i="20"/>
  <c r="O56" i="20"/>
  <c r="B57" i="20"/>
  <c r="L56" i="20"/>
  <c r="M56" i="20"/>
  <c r="K57" i="20"/>
  <c r="J58" i="20"/>
  <c r="N57" i="20"/>
  <c r="O57" i="20"/>
  <c r="B58" i="20"/>
  <c r="L57" i="20"/>
  <c r="M57" i="20"/>
  <c r="J59" i="20"/>
  <c r="K58" i="20"/>
  <c r="N58" i="20"/>
  <c r="O58" i="20"/>
  <c r="B59" i="20"/>
  <c r="L58" i="20"/>
  <c r="M58" i="20"/>
  <c r="J60" i="20"/>
  <c r="K59" i="20"/>
  <c r="N59" i="20"/>
  <c r="O59" i="20"/>
  <c r="B60" i="20"/>
  <c r="L59" i="20"/>
  <c r="M59" i="20"/>
  <c r="B61" i="20"/>
  <c r="L60" i="20"/>
  <c r="M60" i="20"/>
  <c r="J61" i="20"/>
  <c r="K60" i="20"/>
  <c r="N60" i="20"/>
  <c r="O60" i="20"/>
  <c r="J62" i="20"/>
  <c r="K61" i="20"/>
  <c r="N61" i="20"/>
  <c r="O61" i="20"/>
  <c r="B62" i="20"/>
  <c r="L61" i="20"/>
  <c r="M61" i="20"/>
  <c r="J63" i="20"/>
  <c r="K62" i="20"/>
  <c r="N62" i="20"/>
  <c r="O62" i="20"/>
  <c r="L62" i="20"/>
  <c r="M62" i="20"/>
  <c r="B63" i="20"/>
  <c r="B64" i="20"/>
  <c r="L63" i="20"/>
  <c r="M63" i="20"/>
  <c r="J64" i="20"/>
  <c r="K63" i="20"/>
  <c r="N63" i="20"/>
  <c r="O63" i="20"/>
  <c r="B65" i="20"/>
  <c r="L64" i="20"/>
  <c r="J65" i="20"/>
  <c r="K64" i="20"/>
  <c r="N64" i="20"/>
  <c r="O64" i="20"/>
  <c r="M64" i="20"/>
  <c r="K65" i="20"/>
  <c r="J66" i="20"/>
  <c r="N65" i="20"/>
  <c r="O65" i="20"/>
  <c r="L65" i="20"/>
  <c r="M65" i="20"/>
  <c r="B66" i="20"/>
  <c r="B67" i="20"/>
  <c r="L66" i="20"/>
  <c r="M66" i="20"/>
  <c r="K66" i="20"/>
  <c r="J67" i="20"/>
  <c r="N66" i="20"/>
  <c r="O66" i="20"/>
  <c r="J68" i="20"/>
  <c r="K67" i="20"/>
  <c r="N67" i="20"/>
  <c r="O67" i="20"/>
  <c r="B68" i="20"/>
  <c r="L67" i="20"/>
  <c r="M67" i="20"/>
  <c r="L68" i="20"/>
  <c r="M68" i="20"/>
  <c r="B69" i="20"/>
  <c r="K68" i="20"/>
  <c r="J69" i="20"/>
  <c r="N68" i="20"/>
  <c r="O68" i="20"/>
  <c r="J70" i="20"/>
  <c r="K69" i="20"/>
  <c r="N69" i="20"/>
  <c r="O69" i="20"/>
  <c r="B70" i="20"/>
  <c r="L69" i="20"/>
  <c r="M69" i="20"/>
  <c r="B71" i="20"/>
  <c r="L70" i="20"/>
  <c r="M70" i="20"/>
  <c r="K70" i="20"/>
  <c r="J71" i="20"/>
  <c r="N70" i="20"/>
  <c r="O70" i="20"/>
  <c r="K71" i="20"/>
  <c r="J72" i="20"/>
  <c r="N71" i="20"/>
  <c r="O71" i="20"/>
  <c r="L71" i="20"/>
  <c r="M71" i="20"/>
  <c r="B72" i="20"/>
  <c r="B73" i="20"/>
  <c r="L72" i="20"/>
  <c r="M72" i="20"/>
  <c r="J73" i="20"/>
  <c r="K72" i="20"/>
  <c r="N72" i="20"/>
  <c r="O72" i="20"/>
  <c r="K73" i="20"/>
  <c r="J74" i="20"/>
  <c r="N73" i="20"/>
  <c r="O73" i="20"/>
  <c r="B74" i="20"/>
  <c r="L73" i="20"/>
  <c r="M73" i="20"/>
  <c r="B75" i="20"/>
  <c r="L74" i="20"/>
  <c r="M74" i="20"/>
  <c r="K74" i="20"/>
  <c r="J75" i="20"/>
  <c r="N74" i="20"/>
  <c r="O74" i="20"/>
  <c r="B76" i="20"/>
  <c r="L75" i="20"/>
  <c r="M75" i="20"/>
  <c r="J76" i="20"/>
  <c r="K75" i="20"/>
  <c r="N75" i="20"/>
  <c r="O75" i="20"/>
  <c r="J77" i="20"/>
  <c r="K76" i="20"/>
  <c r="N76" i="20"/>
  <c r="O76" i="20"/>
  <c r="B77" i="20"/>
  <c r="L76" i="20"/>
  <c r="M76" i="20"/>
  <c r="L77" i="20"/>
  <c r="M77" i="20"/>
  <c r="B78" i="20"/>
  <c r="J78" i="20"/>
  <c r="K77" i="20"/>
  <c r="N77" i="20"/>
  <c r="O77" i="20"/>
  <c r="K78" i="20"/>
  <c r="J79" i="20"/>
  <c r="N78" i="20"/>
  <c r="O78" i="20"/>
  <c r="L78" i="20"/>
  <c r="M78" i="20"/>
  <c r="B79" i="20"/>
  <c r="J80" i="20"/>
  <c r="K79" i="20"/>
  <c r="N79" i="20"/>
  <c r="O79" i="20"/>
  <c r="B80" i="20"/>
  <c r="L79" i="20"/>
  <c r="M79" i="20"/>
  <c r="B81" i="20"/>
  <c r="L80" i="20"/>
  <c r="M80" i="20"/>
  <c r="K80" i="20"/>
  <c r="J81" i="20"/>
  <c r="N80" i="20"/>
  <c r="O80" i="20"/>
  <c r="J82" i="20"/>
  <c r="K81" i="20"/>
  <c r="N81" i="20"/>
  <c r="O81" i="20"/>
  <c r="B82" i="20"/>
  <c r="L81" i="20"/>
  <c r="M81" i="20"/>
  <c r="B83" i="20"/>
  <c r="L82" i="20"/>
  <c r="M82" i="20"/>
  <c r="K82" i="20"/>
  <c r="J83" i="20"/>
  <c r="N82" i="20"/>
  <c r="O82" i="20"/>
  <c r="K83" i="20"/>
  <c r="J84" i="20"/>
  <c r="N83" i="20"/>
  <c r="O83" i="20"/>
  <c r="B84" i="20"/>
  <c r="L83" i="20"/>
  <c r="M83" i="20"/>
  <c r="L84" i="20"/>
  <c r="M84" i="20"/>
  <c r="B85" i="20"/>
  <c r="J85" i="20"/>
  <c r="K84" i="20"/>
  <c r="N84" i="20"/>
  <c r="O84" i="20"/>
  <c r="J86" i="20"/>
  <c r="K85" i="20"/>
  <c r="N85" i="20"/>
  <c r="O85" i="20"/>
  <c r="B86" i="20"/>
  <c r="L85" i="20"/>
  <c r="M85" i="20"/>
  <c r="J87" i="20"/>
  <c r="K86" i="20"/>
  <c r="N86" i="20"/>
  <c r="O86" i="20"/>
  <c r="L86" i="20"/>
  <c r="M86" i="20"/>
  <c r="B87" i="20"/>
  <c r="B88" i="20"/>
  <c r="L87" i="20"/>
  <c r="M87" i="20"/>
  <c r="K87" i="20"/>
  <c r="J88" i="20"/>
  <c r="N87" i="20"/>
  <c r="O87" i="20"/>
  <c r="J89" i="20"/>
  <c r="K88" i="20"/>
  <c r="N88" i="20"/>
  <c r="O88" i="20"/>
  <c r="L88" i="20"/>
  <c r="M88" i="20"/>
  <c r="B89" i="20"/>
  <c r="K89" i="20"/>
  <c r="J90" i="20"/>
  <c r="N89" i="20"/>
  <c r="O89" i="20"/>
  <c r="B90" i="20"/>
  <c r="L89" i="20"/>
  <c r="M89" i="20"/>
  <c r="B91" i="20"/>
  <c r="L90" i="20"/>
  <c r="M90" i="20"/>
  <c r="K90" i="20"/>
  <c r="J91" i="20"/>
  <c r="N90" i="20"/>
  <c r="O90" i="20"/>
  <c r="L91" i="20"/>
  <c r="M91" i="20"/>
  <c r="B92" i="20"/>
  <c r="J92" i="20"/>
  <c r="K91" i="20"/>
  <c r="N91" i="20"/>
  <c r="O91" i="20"/>
  <c r="L92" i="20"/>
  <c r="M92" i="20"/>
  <c r="B93" i="20"/>
  <c r="J93" i="20"/>
  <c r="K92" i="20"/>
  <c r="N92" i="20"/>
  <c r="O92" i="20"/>
  <c r="J94" i="20"/>
  <c r="K93" i="20"/>
  <c r="N93" i="20"/>
  <c r="O93" i="20"/>
  <c r="B94" i="20"/>
  <c r="L93" i="20"/>
  <c r="M93" i="20"/>
  <c r="B95" i="20"/>
  <c r="L94" i="20"/>
  <c r="M94" i="20"/>
  <c r="J95" i="20"/>
  <c r="K94" i="20"/>
  <c r="N94" i="20"/>
  <c r="O94" i="20"/>
  <c r="J96" i="20"/>
  <c r="K95" i="20"/>
  <c r="N95" i="20"/>
  <c r="O95" i="20"/>
  <c r="L95" i="20"/>
  <c r="M95" i="20"/>
  <c r="B96" i="20"/>
  <c r="B97" i="20"/>
  <c r="L96" i="20"/>
  <c r="M96" i="20"/>
  <c r="K96" i="20"/>
  <c r="J97" i="20"/>
  <c r="N96" i="20"/>
  <c r="O96" i="20"/>
  <c r="J98" i="20"/>
  <c r="K97" i="20"/>
  <c r="N97" i="20"/>
  <c r="O97" i="20"/>
  <c r="B98" i="20"/>
  <c r="L97" i="20"/>
  <c r="M97" i="20"/>
  <c r="L98" i="20"/>
  <c r="M98" i="20"/>
  <c r="B99" i="20"/>
  <c r="K98" i="20"/>
  <c r="J99" i="20"/>
  <c r="N98" i="20"/>
  <c r="O98" i="20"/>
  <c r="B100" i="20"/>
  <c r="L99" i="20"/>
  <c r="M99" i="20"/>
  <c r="K99" i="20"/>
  <c r="J100" i="20"/>
  <c r="N99" i="20"/>
  <c r="O99" i="20"/>
  <c r="K100" i="20"/>
  <c r="J101" i="20"/>
  <c r="N100" i="20"/>
  <c r="O100" i="20"/>
  <c r="B101" i="20"/>
  <c r="L100" i="20"/>
  <c r="M100" i="20"/>
  <c r="L101" i="20"/>
  <c r="M101" i="20"/>
  <c r="B102" i="20"/>
  <c r="K101" i="20"/>
  <c r="J102" i="20"/>
  <c r="N101" i="20"/>
  <c r="O101" i="20"/>
  <c r="J103" i="20"/>
  <c r="K102" i="20"/>
  <c r="N102" i="20"/>
  <c r="O102" i="20"/>
  <c r="L102" i="20"/>
  <c r="M102" i="20"/>
  <c r="B103" i="20"/>
  <c r="B104" i="20"/>
  <c r="L103" i="20"/>
  <c r="M103" i="20"/>
  <c r="J104" i="20"/>
  <c r="K103" i="20"/>
  <c r="N103" i="20"/>
  <c r="O103" i="20"/>
  <c r="K104" i="20"/>
  <c r="J105" i="20"/>
  <c r="N104" i="20"/>
  <c r="O104" i="20"/>
  <c r="L104" i="20"/>
  <c r="M104" i="20"/>
  <c r="B105" i="20"/>
  <c r="B106" i="20"/>
  <c r="L105" i="20"/>
  <c r="M105" i="20"/>
  <c r="J106" i="20"/>
  <c r="K105" i="20"/>
  <c r="N105" i="20"/>
  <c r="O105" i="20"/>
  <c r="J107" i="20"/>
  <c r="K106" i="20"/>
  <c r="N106" i="20"/>
  <c r="O106" i="20"/>
  <c r="L106" i="20"/>
  <c r="M106" i="20"/>
  <c r="B107" i="20"/>
  <c r="L107" i="20"/>
  <c r="M107" i="20"/>
  <c r="B108" i="20"/>
  <c r="K107" i="20"/>
  <c r="J108" i="20"/>
  <c r="N107" i="20"/>
  <c r="O107" i="20"/>
  <c r="K108" i="20"/>
  <c r="J109" i="20"/>
  <c r="N108" i="20"/>
  <c r="O108" i="20"/>
  <c r="L108" i="20"/>
  <c r="M108" i="20"/>
  <c r="B109" i="20"/>
  <c r="L109" i="20"/>
  <c r="M109" i="20"/>
  <c r="B110" i="20"/>
  <c r="J110" i="20"/>
  <c r="K109" i="20"/>
  <c r="N109" i="20"/>
  <c r="O109" i="20"/>
  <c r="J111" i="20"/>
  <c r="K110" i="20"/>
  <c r="N110" i="20"/>
  <c r="O110" i="20"/>
  <c r="B111" i="20"/>
  <c r="L110" i="20"/>
  <c r="M110" i="20"/>
  <c r="J112" i="20"/>
  <c r="K111" i="20"/>
  <c r="N111" i="20"/>
  <c r="O111" i="20"/>
  <c r="L111" i="20"/>
  <c r="M111" i="20"/>
  <c r="B112" i="20"/>
  <c r="L112" i="20"/>
  <c r="M112" i="20"/>
  <c r="B113" i="20"/>
  <c r="J113" i="20"/>
  <c r="K112" i="20"/>
  <c r="N112" i="20"/>
  <c r="O112" i="20"/>
  <c r="L113" i="20"/>
  <c r="M113" i="20"/>
  <c r="B114" i="20"/>
  <c r="J114" i="20"/>
  <c r="K113" i="20"/>
  <c r="N113" i="20"/>
  <c r="O113" i="20"/>
  <c r="B115" i="20"/>
  <c r="L114" i="20"/>
  <c r="M114" i="20"/>
  <c r="J115" i="20"/>
  <c r="K114" i="20"/>
  <c r="N114" i="20"/>
  <c r="O114" i="20"/>
  <c r="K115" i="20"/>
  <c r="J116" i="20"/>
  <c r="N115" i="20"/>
  <c r="O115" i="20"/>
  <c r="L115" i="20"/>
  <c r="M115" i="20"/>
  <c r="B116" i="20"/>
  <c r="B117" i="20"/>
  <c r="L116" i="20"/>
  <c r="M116" i="20"/>
  <c r="K116" i="20"/>
  <c r="J117" i="20"/>
  <c r="N116" i="20"/>
  <c r="O116" i="20"/>
  <c r="K117" i="20"/>
  <c r="J118" i="20"/>
  <c r="N117" i="20"/>
  <c r="O117" i="20"/>
  <c r="B118" i="20"/>
  <c r="L117" i="20"/>
  <c r="M117" i="20"/>
  <c r="L118" i="20"/>
  <c r="M118" i="20"/>
  <c r="B119" i="20"/>
  <c r="J119" i="20"/>
  <c r="K118" i="20"/>
  <c r="N118" i="20"/>
  <c r="O118" i="20"/>
  <c r="K119" i="20"/>
  <c r="J120" i="20"/>
  <c r="N119" i="20"/>
  <c r="O119" i="20"/>
  <c r="L119" i="20"/>
  <c r="M119" i="20"/>
  <c r="B120" i="20"/>
  <c r="K120" i="20"/>
  <c r="J121" i="20"/>
  <c r="N120" i="20"/>
  <c r="O120" i="20"/>
  <c r="L120" i="20"/>
  <c r="M120" i="20"/>
  <c r="B121" i="20"/>
  <c r="K121" i="20"/>
  <c r="J122" i="20"/>
  <c r="N121" i="20"/>
  <c r="O121" i="20"/>
  <c r="B122" i="20"/>
  <c r="L121" i="20"/>
  <c r="M121" i="20"/>
  <c r="J123" i="20"/>
  <c r="K122" i="20"/>
  <c r="N122" i="20"/>
  <c r="O122" i="20"/>
  <c r="B123" i="20"/>
  <c r="L122" i="20"/>
  <c r="M122" i="20"/>
  <c r="J124" i="20"/>
  <c r="K123" i="20"/>
  <c r="N123" i="20"/>
  <c r="O123" i="20"/>
  <c r="L123" i="20"/>
  <c r="M123" i="20"/>
  <c r="B124" i="20"/>
  <c r="L124" i="20"/>
  <c r="M124" i="20"/>
  <c r="B125" i="20"/>
  <c r="K124" i="20"/>
  <c r="J125" i="20"/>
  <c r="N124" i="20"/>
  <c r="O124" i="20"/>
  <c r="J126" i="20"/>
  <c r="K125" i="20"/>
  <c r="N125" i="20"/>
  <c r="O125" i="20"/>
  <c r="B126" i="20"/>
  <c r="L125" i="20"/>
  <c r="M125" i="20"/>
  <c r="L126" i="20"/>
  <c r="M126" i="20"/>
  <c r="B127" i="20"/>
  <c r="K126" i="20"/>
  <c r="J127" i="20"/>
  <c r="N126" i="20"/>
  <c r="O126" i="20"/>
  <c r="J128" i="20"/>
  <c r="K127" i="20"/>
  <c r="N127" i="20"/>
  <c r="O127" i="20"/>
  <c r="L127" i="20"/>
  <c r="M127" i="20"/>
  <c r="B128" i="20"/>
  <c r="B129" i="20"/>
  <c r="L128" i="20"/>
  <c r="M128" i="20"/>
  <c r="K128" i="20"/>
  <c r="J129" i="20"/>
  <c r="N128" i="20"/>
  <c r="O128" i="20"/>
  <c r="K129" i="20"/>
  <c r="J130" i="20"/>
  <c r="N129" i="20"/>
  <c r="O129" i="20"/>
  <c r="B130" i="20"/>
  <c r="L129" i="20"/>
  <c r="M129" i="20"/>
  <c r="L130" i="20"/>
  <c r="M130" i="20"/>
  <c r="B131" i="20"/>
  <c r="K130" i="20"/>
  <c r="J131" i="20"/>
  <c r="N130" i="20"/>
  <c r="O130" i="20"/>
  <c r="K131" i="20"/>
  <c r="J132" i="20"/>
  <c r="N131" i="20"/>
  <c r="O131" i="20"/>
  <c r="B132" i="20"/>
  <c r="L131" i="20"/>
  <c r="M131" i="20"/>
  <c r="B133" i="20"/>
  <c r="L132" i="20"/>
  <c r="M132" i="20"/>
  <c r="K132" i="20"/>
  <c r="J133" i="20"/>
  <c r="N132" i="20"/>
  <c r="O132" i="20"/>
  <c r="K133" i="20"/>
  <c r="J134" i="20"/>
  <c r="N133" i="20"/>
  <c r="O133" i="20"/>
  <c r="B134" i="20"/>
  <c r="L133" i="20"/>
  <c r="M133" i="20"/>
  <c r="L134" i="20"/>
  <c r="M134" i="20"/>
  <c r="B135" i="20"/>
  <c r="K134" i="20"/>
  <c r="J135" i="20"/>
  <c r="N134" i="20"/>
  <c r="O134" i="20"/>
  <c r="K135" i="20"/>
  <c r="J136" i="20"/>
  <c r="N135" i="20"/>
  <c r="O135" i="20"/>
  <c r="B136" i="20"/>
  <c r="L135" i="20"/>
  <c r="M135" i="20"/>
  <c r="L136" i="20"/>
  <c r="M136" i="20"/>
  <c r="B137" i="20"/>
  <c r="J137" i="20"/>
  <c r="K136" i="20"/>
  <c r="N136" i="20"/>
  <c r="O136" i="20"/>
  <c r="B138" i="20"/>
  <c r="L137" i="20"/>
  <c r="M137" i="20"/>
  <c r="K137" i="20"/>
  <c r="J138" i="20"/>
  <c r="N137" i="20"/>
  <c r="O137" i="20"/>
  <c r="K138" i="20"/>
  <c r="J139" i="20"/>
  <c r="N138" i="20"/>
  <c r="O138" i="20"/>
  <c r="B139" i="20"/>
  <c r="L138" i="20"/>
  <c r="M138" i="20"/>
  <c r="J140" i="20"/>
  <c r="K139" i="20"/>
  <c r="N139" i="20"/>
  <c r="O139" i="20"/>
  <c r="B140" i="20"/>
  <c r="L139" i="20"/>
  <c r="M139" i="20"/>
  <c r="K140" i="20"/>
  <c r="J141" i="20"/>
  <c r="N140" i="20"/>
  <c r="O140" i="20"/>
  <c r="L140" i="20"/>
  <c r="M140" i="20"/>
  <c r="B141" i="20"/>
  <c r="K141" i="20"/>
  <c r="J142" i="20"/>
  <c r="N141" i="20"/>
  <c r="O141" i="20"/>
  <c r="B142" i="20"/>
  <c r="L141" i="20"/>
  <c r="M141" i="20"/>
  <c r="B143" i="20"/>
  <c r="L142" i="20"/>
  <c r="M142" i="20"/>
  <c r="K142" i="20"/>
  <c r="J143" i="20"/>
  <c r="N142" i="20"/>
  <c r="O142" i="20"/>
  <c r="J144" i="20"/>
  <c r="K143" i="20"/>
  <c r="N143" i="20"/>
  <c r="O143" i="20"/>
  <c r="B144" i="20"/>
  <c r="L143" i="20"/>
  <c r="M143" i="20"/>
  <c r="B145" i="20"/>
  <c r="L144" i="20"/>
  <c r="M144" i="20"/>
  <c r="K144" i="20"/>
  <c r="J145" i="20"/>
  <c r="N144" i="20"/>
  <c r="O144" i="20"/>
  <c r="B146" i="20"/>
  <c r="L145" i="20"/>
  <c r="M145" i="20"/>
  <c r="K145" i="20"/>
  <c r="J146" i="20"/>
  <c r="N145" i="20"/>
  <c r="O145" i="20"/>
  <c r="B147" i="20"/>
  <c r="L146" i="20"/>
  <c r="M146" i="20"/>
  <c r="J147" i="20"/>
  <c r="K146" i="20"/>
  <c r="N146" i="20"/>
  <c r="O146" i="20"/>
  <c r="K147" i="20"/>
  <c r="J148" i="20"/>
  <c r="N147" i="20"/>
  <c r="O147" i="20"/>
  <c r="B148" i="20"/>
  <c r="L147" i="20"/>
  <c r="M147" i="20"/>
  <c r="B149" i="20"/>
  <c r="L148" i="20"/>
  <c r="M148" i="20"/>
  <c r="J149" i="20"/>
  <c r="K148" i="20"/>
  <c r="N148" i="20"/>
  <c r="O148" i="20"/>
  <c r="K149" i="20"/>
  <c r="J150" i="20"/>
  <c r="N149" i="20"/>
  <c r="B150" i="20"/>
  <c r="L149" i="20"/>
  <c r="M149" i="20"/>
  <c r="O149" i="20"/>
  <c r="B151" i="20"/>
  <c r="L150" i="20"/>
  <c r="M150" i="20"/>
  <c r="K150" i="20"/>
  <c r="J151" i="20"/>
  <c r="N150" i="20"/>
  <c r="O150" i="20"/>
  <c r="K151" i="20"/>
  <c r="J152" i="20"/>
  <c r="N151" i="20"/>
  <c r="O151" i="20"/>
  <c r="B152" i="20"/>
  <c r="L151" i="20"/>
  <c r="M151" i="20"/>
  <c r="J153" i="20"/>
  <c r="K152" i="20"/>
  <c r="N152" i="20"/>
  <c r="O152" i="20"/>
  <c r="L152" i="20"/>
  <c r="M152" i="20"/>
  <c r="B153" i="20"/>
  <c r="B154" i="20"/>
  <c r="L153" i="20"/>
  <c r="M153" i="20"/>
  <c r="K153" i="20"/>
  <c r="J154" i="20"/>
  <c r="N153" i="20"/>
  <c r="O153" i="20"/>
  <c r="B155" i="20"/>
  <c r="L154" i="20"/>
  <c r="M154" i="20"/>
  <c r="J155" i="20"/>
  <c r="K154" i="20"/>
  <c r="N154" i="20"/>
  <c r="O154" i="20"/>
  <c r="J156" i="20"/>
  <c r="K155" i="20"/>
  <c r="N155" i="20"/>
  <c r="O155" i="20"/>
  <c r="B156" i="20"/>
  <c r="L155" i="20"/>
  <c r="M155" i="20"/>
  <c r="B157" i="20"/>
  <c r="L156" i="20"/>
  <c r="M156" i="20"/>
  <c r="J157" i="20"/>
  <c r="K156" i="20"/>
  <c r="N156" i="20"/>
  <c r="O156" i="20"/>
  <c r="K157" i="20"/>
  <c r="J158" i="20"/>
  <c r="N157" i="20"/>
  <c r="O157" i="20"/>
  <c r="B158" i="20"/>
  <c r="L157" i="20"/>
  <c r="M157" i="20"/>
  <c r="J159" i="20"/>
  <c r="K158" i="20"/>
  <c r="N158" i="20"/>
  <c r="O158" i="20"/>
  <c r="B159" i="20"/>
  <c r="L158" i="20"/>
  <c r="M158" i="20"/>
  <c r="B160" i="20"/>
  <c r="L159" i="20"/>
  <c r="M159" i="20"/>
  <c r="K159" i="20"/>
  <c r="J160" i="20"/>
  <c r="N159" i="20"/>
  <c r="O159" i="20"/>
  <c r="K160" i="20"/>
  <c r="J161" i="20"/>
  <c r="N160" i="20"/>
  <c r="O160" i="20"/>
  <c r="L160" i="20"/>
  <c r="M160" i="20"/>
  <c r="B161" i="20"/>
  <c r="J162" i="20"/>
  <c r="K161" i="20"/>
  <c r="N161" i="20"/>
  <c r="O161" i="20"/>
  <c r="L161" i="20"/>
  <c r="M161" i="20"/>
  <c r="B162" i="20"/>
  <c r="J163" i="20"/>
  <c r="K162" i="20"/>
  <c r="N162" i="20"/>
  <c r="O162" i="20"/>
  <c r="B163" i="20"/>
  <c r="L162" i="20"/>
  <c r="M162" i="20"/>
  <c r="B164" i="20"/>
  <c r="L163" i="20"/>
  <c r="M163" i="20"/>
  <c r="K163" i="20"/>
  <c r="J164" i="20"/>
  <c r="N163" i="20"/>
  <c r="O163" i="20"/>
  <c r="K164" i="20"/>
  <c r="J165" i="20"/>
  <c r="N164" i="20"/>
  <c r="O164" i="20"/>
  <c r="L164" i="20"/>
  <c r="M164" i="20"/>
  <c r="B165" i="20"/>
  <c r="L165" i="20"/>
  <c r="M165" i="20"/>
  <c r="B166" i="20"/>
  <c r="K165" i="20"/>
  <c r="J166" i="20"/>
  <c r="N165" i="20"/>
  <c r="O165" i="20"/>
  <c r="B167" i="20"/>
  <c r="L166" i="20"/>
  <c r="M166" i="20"/>
  <c r="K166" i="20"/>
  <c r="J167" i="20"/>
  <c r="N166" i="20"/>
  <c r="O166" i="20"/>
  <c r="J168" i="20"/>
  <c r="K167" i="20"/>
  <c r="N167" i="20"/>
  <c r="O167" i="20"/>
  <c r="B168" i="20"/>
  <c r="L167" i="20"/>
  <c r="M167" i="20"/>
  <c r="K168" i="20"/>
  <c r="J169" i="20"/>
  <c r="N168" i="20"/>
  <c r="O168" i="20"/>
  <c r="B169" i="20"/>
  <c r="L168" i="20"/>
  <c r="M168" i="20"/>
  <c r="L169" i="20"/>
  <c r="M169" i="20"/>
  <c r="B170" i="20"/>
  <c r="K169" i="20"/>
  <c r="J170" i="20"/>
  <c r="N169" i="20"/>
  <c r="O169" i="20"/>
  <c r="J171" i="20"/>
  <c r="K170" i="20"/>
  <c r="N170" i="20"/>
  <c r="O170" i="20"/>
  <c r="B171" i="20"/>
  <c r="L170" i="20"/>
  <c r="M170" i="20"/>
  <c r="L171" i="20"/>
  <c r="M171" i="20"/>
  <c r="B172" i="20"/>
  <c r="J172" i="20"/>
  <c r="K171" i="20"/>
  <c r="N171" i="20"/>
  <c r="O171" i="20"/>
  <c r="J173" i="20"/>
  <c r="K172" i="20"/>
  <c r="N172" i="20"/>
  <c r="O172" i="20"/>
  <c r="B173" i="20"/>
  <c r="L172" i="20"/>
  <c r="M172" i="20"/>
  <c r="L173" i="20"/>
  <c r="M173" i="20"/>
  <c r="B174" i="20"/>
  <c r="K173" i="20"/>
  <c r="J174" i="20"/>
  <c r="N173" i="20"/>
  <c r="O173" i="20"/>
  <c r="K174" i="20"/>
  <c r="J175" i="20"/>
  <c r="N174" i="20"/>
  <c r="O174" i="20"/>
  <c r="L174" i="20"/>
  <c r="M174" i="20"/>
  <c r="B175" i="20"/>
  <c r="L175" i="20"/>
  <c r="M175" i="20"/>
  <c r="B176" i="20"/>
  <c r="K175" i="20"/>
  <c r="J176" i="20"/>
  <c r="N175" i="20"/>
  <c r="O175" i="20"/>
  <c r="B177" i="20"/>
  <c r="L176" i="20"/>
  <c r="M176" i="20"/>
  <c r="J177" i="20"/>
  <c r="K176" i="20"/>
  <c r="N176" i="20"/>
  <c r="O176" i="20"/>
  <c r="B178" i="20"/>
  <c r="L177" i="20"/>
  <c r="M177" i="20"/>
  <c r="K177" i="20"/>
  <c r="J178" i="20"/>
  <c r="N177" i="20"/>
  <c r="O177" i="20"/>
  <c r="B179" i="20"/>
  <c r="L178" i="20"/>
  <c r="M178" i="20"/>
  <c r="K178" i="20"/>
  <c r="J179" i="20"/>
  <c r="N178" i="20"/>
  <c r="O178" i="20"/>
  <c r="L179" i="20"/>
  <c r="M179" i="20"/>
  <c r="B180" i="20"/>
  <c r="J180" i="20"/>
  <c r="K179" i="20"/>
  <c r="N179" i="20"/>
  <c r="O179" i="20"/>
  <c r="J181" i="20"/>
  <c r="K180" i="20"/>
  <c r="N180" i="20"/>
  <c r="O180" i="20"/>
  <c r="L180" i="20"/>
  <c r="M180" i="20"/>
  <c r="B181" i="20"/>
  <c r="K181" i="20"/>
  <c r="J182" i="20"/>
  <c r="N181" i="20"/>
  <c r="O181" i="20"/>
  <c r="L181" i="20"/>
  <c r="M181" i="20"/>
  <c r="B182" i="20"/>
  <c r="L182" i="20"/>
  <c r="M182" i="20"/>
  <c r="B183" i="20"/>
  <c r="J183" i="20"/>
  <c r="K182" i="20"/>
  <c r="N182" i="20"/>
  <c r="O182" i="20"/>
  <c r="K183" i="20"/>
  <c r="J184" i="20"/>
  <c r="N183" i="20"/>
  <c r="O183" i="20"/>
  <c r="L183" i="20"/>
  <c r="M183" i="20"/>
  <c r="B184" i="20"/>
  <c r="J185" i="20"/>
  <c r="K184" i="20"/>
  <c r="N184" i="20"/>
  <c r="O184" i="20"/>
  <c r="B185" i="20"/>
  <c r="L184" i="20"/>
  <c r="M184" i="20"/>
  <c r="K185" i="20"/>
  <c r="J186" i="20"/>
  <c r="N185" i="20"/>
  <c r="O185" i="20"/>
  <c r="L185" i="20"/>
  <c r="M185" i="20"/>
  <c r="B186" i="20"/>
  <c r="B187" i="20"/>
  <c r="L186" i="20"/>
  <c r="M186" i="20"/>
  <c r="K186" i="20"/>
  <c r="J187" i="20"/>
  <c r="N186" i="20"/>
  <c r="O186" i="20"/>
  <c r="B188" i="20"/>
  <c r="L187" i="20"/>
  <c r="M187" i="20"/>
  <c r="J188" i="20"/>
  <c r="K187" i="20"/>
  <c r="N187" i="20"/>
  <c r="O187" i="20"/>
  <c r="J189" i="20"/>
  <c r="K188" i="20"/>
  <c r="N188" i="20"/>
  <c r="O188" i="20"/>
  <c r="L188" i="20"/>
  <c r="M188" i="20"/>
  <c r="B189" i="20"/>
  <c r="B190" i="20"/>
  <c r="L189" i="20"/>
  <c r="M189" i="20"/>
  <c r="J190" i="20"/>
  <c r="K189" i="20"/>
  <c r="N189" i="20"/>
  <c r="O189" i="20"/>
  <c r="J191" i="20"/>
  <c r="K190" i="20"/>
  <c r="N190" i="20"/>
  <c r="O190" i="20"/>
  <c r="B191" i="20"/>
  <c r="L190" i="20"/>
  <c r="M190" i="20"/>
  <c r="B192" i="20"/>
  <c r="L191" i="20"/>
  <c r="M191" i="20"/>
  <c r="J192" i="20"/>
  <c r="K191" i="20"/>
  <c r="N191" i="20"/>
  <c r="O191" i="20"/>
  <c r="K192" i="20"/>
  <c r="J193" i="20"/>
  <c r="N192" i="20"/>
  <c r="O192" i="20"/>
  <c r="L192" i="20"/>
  <c r="M192" i="20"/>
  <c r="B193" i="20"/>
  <c r="K193" i="20"/>
  <c r="J194" i="20"/>
  <c r="N193" i="20"/>
  <c r="O193" i="20"/>
  <c r="L193" i="20"/>
  <c r="M193" i="20"/>
  <c r="B194" i="20"/>
  <c r="L194" i="20"/>
  <c r="M194" i="20"/>
  <c r="B195" i="20"/>
  <c r="K194" i="20"/>
  <c r="J195" i="20"/>
  <c r="N194" i="20"/>
  <c r="O194" i="20"/>
  <c r="B196" i="20"/>
  <c r="L195" i="20"/>
  <c r="M195" i="20"/>
  <c r="J196" i="20"/>
  <c r="K195" i="20"/>
  <c r="N195" i="20"/>
  <c r="O195" i="20"/>
  <c r="B197" i="20"/>
  <c r="L196" i="20"/>
  <c r="M196" i="20"/>
  <c r="K196" i="20"/>
  <c r="J197" i="20"/>
  <c r="N196" i="20"/>
  <c r="O196" i="20"/>
  <c r="J198" i="20"/>
  <c r="K197" i="20"/>
  <c r="N197" i="20"/>
  <c r="O197" i="20"/>
  <c r="B198" i="20"/>
  <c r="L197" i="20"/>
  <c r="M197" i="20"/>
  <c r="B199" i="20"/>
  <c r="L198" i="20"/>
  <c r="M198" i="20"/>
  <c r="K198" i="20"/>
  <c r="J199" i="20"/>
  <c r="N198" i="20"/>
  <c r="O198" i="20"/>
  <c r="B200" i="20"/>
  <c r="L199" i="20"/>
  <c r="M199" i="20"/>
  <c r="J200" i="20"/>
  <c r="K199" i="20"/>
  <c r="N199" i="20"/>
  <c r="O199" i="20"/>
  <c r="K200" i="20"/>
  <c r="J201" i="20"/>
  <c r="N200" i="20"/>
  <c r="O200" i="20"/>
  <c r="B201" i="20"/>
  <c r="L200" i="20"/>
  <c r="M200" i="20"/>
  <c r="J202" i="20"/>
  <c r="K201" i="20"/>
  <c r="N201" i="20"/>
  <c r="O201" i="20"/>
  <c r="B202" i="20"/>
  <c r="L201" i="20"/>
  <c r="M201" i="20"/>
  <c r="J203" i="20"/>
  <c r="K202" i="20"/>
  <c r="N202" i="20"/>
  <c r="O202" i="20"/>
  <c r="L202" i="20"/>
  <c r="M202" i="20"/>
  <c r="B203" i="20"/>
  <c r="K203" i="20"/>
  <c r="J204" i="20"/>
  <c r="N203" i="20"/>
  <c r="O203" i="20"/>
  <c r="B204" i="20"/>
  <c r="L203" i="20"/>
  <c r="M203" i="20"/>
  <c r="J205" i="20"/>
  <c r="K204" i="20"/>
  <c r="N204" i="20"/>
  <c r="O204" i="20"/>
  <c r="B205" i="20"/>
  <c r="L204" i="20"/>
  <c r="M204" i="20"/>
  <c r="J206" i="20"/>
  <c r="K205" i="20"/>
  <c r="N205" i="20"/>
  <c r="O205" i="20"/>
  <c r="B206" i="20"/>
  <c r="L205" i="20"/>
  <c r="M205" i="20"/>
  <c r="J207" i="20"/>
  <c r="K206" i="20"/>
  <c r="N206" i="20"/>
  <c r="O206" i="20"/>
  <c r="B207" i="20"/>
  <c r="L206" i="20"/>
  <c r="M206" i="20"/>
  <c r="K207" i="20"/>
  <c r="J208" i="20"/>
  <c r="N207" i="20"/>
  <c r="O207" i="20"/>
  <c r="B208" i="20"/>
  <c r="L207" i="20"/>
  <c r="M207" i="20"/>
  <c r="K208" i="20"/>
  <c r="J209" i="20"/>
  <c r="N208" i="20"/>
  <c r="O208" i="20"/>
  <c r="B209" i="20"/>
  <c r="L208" i="20"/>
  <c r="M208" i="20"/>
  <c r="K209" i="20"/>
  <c r="J210" i="20"/>
  <c r="N209" i="20"/>
  <c r="O209" i="20"/>
  <c r="L209" i="20"/>
  <c r="M209" i="20"/>
  <c r="B210" i="20"/>
  <c r="K210" i="20"/>
  <c r="J211" i="20"/>
  <c r="N210" i="20"/>
  <c r="O210" i="20"/>
  <c r="L210" i="20"/>
  <c r="M210" i="20"/>
  <c r="B211" i="20"/>
  <c r="J212" i="20"/>
  <c r="K211" i="20"/>
  <c r="N211" i="20"/>
  <c r="O211" i="20"/>
  <c r="B212" i="20"/>
  <c r="L211" i="20"/>
  <c r="M211" i="20"/>
  <c r="J213" i="20"/>
  <c r="K212" i="20"/>
  <c r="N212" i="20"/>
  <c r="O212" i="20"/>
  <c r="L212" i="20"/>
  <c r="M212" i="20"/>
  <c r="B213" i="20"/>
  <c r="J214" i="20"/>
  <c r="K213" i="20"/>
  <c r="N213" i="20"/>
  <c r="O213" i="20"/>
  <c r="B214" i="20"/>
  <c r="L213" i="20"/>
  <c r="M213" i="20"/>
  <c r="J215" i="20"/>
  <c r="K214" i="20"/>
  <c r="N214" i="20"/>
  <c r="O214" i="20"/>
  <c r="B215" i="20"/>
  <c r="L214" i="20"/>
  <c r="M214" i="20"/>
  <c r="J216" i="20"/>
  <c r="K215" i="20"/>
  <c r="N215" i="20"/>
  <c r="O215" i="20"/>
  <c r="L215" i="20"/>
  <c r="M215" i="20"/>
  <c r="B216" i="20"/>
  <c r="K216" i="20"/>
  <c r="J217" i="20"/>
  <c r="N216" i="20"/>
  <c r="O216" i="20"/>
  <c r="L216" i="20"/>
  <c r="M216" i="20"/>
  <c r="B217" i="20"/>
  <c r="K217" i="20"/>
  <c r="J218" i="20"/>
  <c r="N217" i="20"/>
  <c r="O217" i="20"/>
  <c r="B218" i="20"/>
  <c r="L217" i="20"/>
  <c r="M217" i="20"/>
  <c r="K218" i="20"/>
  <c r="J219" i="20"/>
  <c r="N218" i="20"/>
  <c r="O218" i="20"/>
  <c r="B219" i="20"/>
  <c r="L218" i="20"/>
  <c r="M218" i="20"/>
  <c r="K219" i="20"/>
  <c r="J220" i="20"/>
  <c r="N219" i="20"/>
  <c r="O219" i="20"/>
  <c r="L219" i="20"/>
  <c r="M219" i="20"/>
  <c r="B220" i="20"/>
  <c r="K220" i="20"/>
  <c r="J221" i="20"/>
  <c r="N220" i="20"/>
  <c r="O220" i="20"/>
  <c r="L220" i="20"/>
  <c r="M220" i="20"/>
  <c r="B221" i="20"/>
  <c r="J222" i="20"/>
  <c r="K221" i="20"/>
  <c r="N221" i="20"/>
  <c r="O221" i="20"/>
  <c r="L221" i="20"/>
  <c r="M221" i="20"/>
  <c r="B222" i="20"/>
  <c r="J223" i="20"/>
  <c r="K222" i="20"/>
  <c r="N222" i="20"/>
  <c r="O222" i="20"/>
  <c r="L222" i="20"/>
  <c r="M222" i="20"/>
  <c r="B223" i="20"/>
  <c r="J224" i="20"/>
  <c r="K223" i="20"/>
  <c r="N223" i="20"/>
  <c r="O223" i="20"/>
  <c r="B224" i="20"/>
  <c r="L223" i="20"/>
  <c r="M223" i="20"/>
  <c r="K224" i="20"/>
  <c r="J225" i="20"/>
  <c r="N224" i="20"/>
  <c r="O224" i="20"/>
  <c r="B225" i="20"/>
  <c r="L224" i="20"/>
  <c r="M224" i="20"/>
  <c r="K225" i="20"/>
  <c r="J226" i="20"/>
  <c r="N225" i="20"/>
  <c r="O225" i="20"/>
  <c r="B226" i="20"/>
  <c r="L225" i="20"/>
  <c r="M225" i="20"/>
  <c r="J227" i="20"/>
  <c r="K226" i="20"/>
  <c r="N226" i="20"/>
  <c r="O226" i="20"/>
  <c r="L226" i="20"/>
  <c r="M226" i="20"/>
  <c r="B227" i="20"/>
  <c r="K227" i="20"/>
  <c r="J228" i="20"/>
  <c r="N227" i="20"/>
  <c r="O227" i="20"/>
  <c r="B228" i="20"/>
  <c r="L227" i="20"/>
  <c r="M227" i="20"/>
  <c r="J229" i="20"/>
  <c r="K228" i="20"/>
  <c r="N228" i="20"/>
  <c r="O228" i="20"/>
  <c r="B229" i="20"/>
  <c r="L228" i="20"/>
  <c r="M228" i="20"/>
  <c r="K229" i="20"/>
  <c r="J230" i="20"/>
  <c r="N229" i="20"/>
  <c r="O229" i="20"/>
  <c r="B230" i="20"/>
  <c r="L229" i="20"/>
  <c r="M229" i="20"/>
  <c r="J231" i="20"/>
  <c r="K230" i="20"/>
  <c r="N230" i="20"/>
  <c r="O230" i="20"/>
  <c r="L230" i="20"/>
  <c r="M230" i="20"/>
  <c r="B231" i="20"/>
  <c r="K231" i="20"/>
  <c r="J232" i="20"/>
  <c r="N231" i="20"/>
  <c r="O231" i="20"/>
  <c r="B232" i="20"/>
  <c r="L231" i="20"/>
  <c r="M231" i="20"/>
  <c r="J233" i="20"/>
  <c r="K232" i="20"/>
  <c r="N232" i="20"/>
  <c r="O232" i="20"/>
  <c r="B233" i="20"/>
  <c r="L232" i="20"/>
  <c r="M232" i="20"/>
  <c r="J234" i="20"/>
  <c r="K233" i="20"/>
  <c r="N233" i="20"/>
  <c r="O233" i="20"/>
  <c r="L233" i="20"/>
  <c r="M233" i="20"/>
  <c r="B234" i="20"/>
  <c r="K234" i="20"/>
  <c r="J235" i="20"/>
  <c r="N234" i="20"/>
  <c r="O234" i="20"/>
  <c r="L234" i="20"/>
  <c r="M234" i="20"/>
  <c r="B235" i="20"/>
  <c r="K235" i="20"/>
  <c r="J236" i="20"/>
  <c r="N235" i="20"/>
  <c r="O235" i="20"/>
  <c r="B236" i="20"/>
  <c r="L235" i="20"/>
  <c r="M235" i="20"/>
  <c r="K236" i="20"/>
  <c r="J237" i="20"/>
  <c r="N236" i="20"/>
  <c r="O236" i="20"/>
  <c r="L236" i="20"/>
  <c r="M236" i="20"/>
  <c r="B237" i="20"/>
  <c r="K237" i="20"/>
  <c r="J238" i="20"/>
  <c r="N237" i="20"/>
  <c r="O237" i="20"/>
  <c r="B238" i="20"/>
  <c r="L237" i="20"/>
  <c r="M237" i="20"/>
  <c r="K238" i="20"/>
  <c r="J239" i="20"/>
  <c r="N238" i="20"/>
  <c r="O238" i="20"/>
  <c r="B239" i="20"/>
  <c r="L238" i="20"/>
  <c r="M238" i="20"/>
  <c r="K239" i="20"/>
  <c r="J240" i="20"/>
  <c r="N239" i="20"/>
  <c r="O239" i="20"/>
  <c r="B240" i="20"/>
  <c r="L239" i="20"/>
  <c r="M239" i="20"/>
  <c r="K240" i="20"/>
  <c r="J241" i="20"/>
  <c r="N240" i="20"/>
  <c r="O240" i="20"/>
  <c r="L240" i="20"/>
  <c r="M240" i="20"/>
  <c r="B241" i="20"/>
  <c r="K241" i="20"/>
  <c r="J242" i="20"/>
  <c r="N241" i="20"/>
  <c r="O241" i="20"/>
  <c r="L241" i="20"/>
  <c r="M241" i="20"/>
  <c r="B242" i="20"/>
  <c r="J243" i="20"/>
  <c r="K242" i="20"/>
  <c r="N242" i="20"/>
  <c r="O242" i="20"/>
  <c r="B243" i="20"/>
  <c r="L242" i="20"/>
  <c r="M242" i="20"/>
  <c r="K243" i="20"/>
  <c r="J244" i="20"/>
  <c r="N243" i="20"/>
  <c r="O243" i="20"/>
  <c r="B244" i="20"/>
  <c r="L243" i="20"/>
  <c r="M243" i="20"/>
  <c r="K244" i="20"/>
  <c r="J245" i="20"/>
  <c r="N244" i="20"/>
  <c r="O244" i="20"/>
  <c r="B245" i="20"/>
  <c r="L244" i="20"/>
  <c r="M244" i="20"/>
  <c r="K245" i="20"/>
  <c r="J246" i="20"/>
  <c r="N245" i="20"/>
  <c r="O245" i="20"/>
  <c r="B246" i="20"/>
  <c r="L245" i="20"/>
  <c r="M245" i="20"/>
  <c r="K246" i="20"/>
  <c r="J247" i="20"/>
  <c r="N246" i="20"/>
  <c r="O246" i="20"/>
  <c r="B247" i="20"/>
  <c r="L246" i="20"/>
  <c r="M246" i="20"/>
  <c r="K247" i="20"/>
  <c r="J248" i="20"/>
  <c r="N247" i="20"/>
  <c r="O247" i="20"/>
  <c r="B248" i="20"/>
  <c r="L247" i="20"/>
  <c r="M247" i="20"/>
  <c r="J249" i="20"/>
  <c r="K248" i="20"/>
  <c r="N248" i="20"/>
  <c r="O248" i="20"/>
  <c r="L248" i="20"/>
  <c r="M248" i="20"/>
  <c r="B249" i="20"/>
  <c r="J250" i="20"/>
  <c r="K249" i="20"/>
  <c r="N249" i="20"/>
  <c r="O249" i="20"/>
  <c r="L249" i="20"/>
  <c r="M249" i="20"/>
  <c r="B250" i="20"/>
  <c r="K250" i="20"/>
  <c r="J251" i="20"/>
  <c r="N250" i="20"/>
  <c r="O250" i="20"/>
  <c r="L250" i="20"/>
  <c r="M250" i="20"/>
  <c r="B251" i="20"/>
  <c r="B252" i="20"/>
  <c r="L251" i="20"/>
  <c r="M251" i="20"/>
  <c r="K251" i="20"/>
  <c r="J252" i="20"/>
  <c r="N251" i="20"/>
  <c r="O251" i="20"/>
  <c r="B253" i="20"/>
  <c r="L252" i="20"/>
  <c r="M252" i="20"/>
  <c r="K252" i="20"/>
  <c r="J253" i="20"/>
  <c r="N252" i="20"/>
  <c r="O252" i="20"/>
  <c r="L253" i="20"/>
  <c r="M253" i="20"/>
  <c r="B254" i="20"/>
  <c r="J254" i="20"/>
  <c r="K253" i="20"/>
  <c r="N253" i="20"/>
  <c r="O253" i="20"/>
  <c r="K254" i="20"/>
  <c r="J255" i="20"/>
  <c r="N254" i="20"/>
  <c r="O254" i="20"/>
  <c r="L254" i="20"/>
  <c r="M254" i="20"/>
  <c r="B255" i="20"/>
  <c r="B256" i="20"/>
  <c r="L255" i="20"/>
  <c r="M255" i="20"/>
  <c r="J256" i="20"/>
  <c r="K255" i="20"/>
  <c r="N255" i="20"/>
  <c r="O255" i="20"/>
  <c r="J257" i="20"/>
  <c r="K256" i="20"/>
  <c r="N256" i="20"/>
  <c r="O256" i="20"/>
  <c r="L256" i="20"/>
  <c r="M256" i="20"/>
  <c r="B257" i="20"/>
  <c r="L257" i="20"/>
  <c r="M257" i="20"/>
  <c r="B258" i="20"/>
  <c r="J258" i="20"/>
  <c r="K257" i="20"/>
  <c r="N257" i="20"/>
  <c r="O257" i="20"/>
  <c r="K258" i="20"/>
  <c r="J259" i="20"/>
  <c r="N258" i="20"/>
  <c r="O258" i="20"/>
  <c r="L258" i="20"/>
  <c r="M258" i="20"/>
  <c r="B259" i="20"/>
  <c r="L259" i="20"/>
  <c r="M259" i="20"/>
  <c r="B260" i="20"/>
  <c r="K259" i="20"/>
  <c r="J260" i="20"/>
  <c r="N259" i="20"/>
  <c r="O259" i="20"/>
  <c r="J261" i="20"/>
  <c r="K260" i="20"/>
  <c r="N260" i="20"/>
  <c r="O260" i="20"/>
  <c r="B261" i="20"/>
  <c r="L260" i="20"/>
  <c r="M260" i="20"/>
  <c r="B262" i="20"/>
  <c r="L261" i="20"/>
  <c r="M261" i="20"/>
  <c r="J262" i="20"/>
  <c r="K261" i="20"/>
  <c r="N261" i="20"/>
  <c r="O261" i="20"/>
  <c r="J263" i="20"/>
  <c r="K262" i="20"/>
  <c r="N262" i="20"/>
  <c r="O262" i="20"/>
  <c r="L262" i="20"/>
  <c r="M262" i="20"/>
  <c r="B263" i="20"/>
  <c r="J264" i="20"/>
  <c r="K263" i="20"/>
  <c r="N263" i="20"/>
  <c r="O263" i="20"/>
  <c r="B264" i="20"/>
  <c r="L263" i="20"/>
  <c r="M263" i="20"/>
  <c r="K264" i="20"/>
  <c r="J265" i="20"/>
  <c r="N264" i="20"/>
  <c r="O264" i="20"/>
  <c r="L264" i="20"/>
  <c r="M264" i="20"/>
  <c r="B265" i="20"/>
  <c r="J266" i="20"/>
  <c r="K265" i="20"/>
  <c r="N265" i="20"/>
  <c r="O265" i="20"/>
  <c r="L265" i="20"/>
  <c r="M265" i="20"/>
  <c r="B266" i="20"/>
  <c r="J267" i="20"/>
  <c r="K266" i="20"/>
  <c r="N266" i="20"/>
  <c r="O266" i="20"/>
  <c r="B267" i="20"/>
  <c r="L266" i="20"/>
  <c r="M266" i="20"/>
  <c r="K267" i="20"/>
  <c r="J268" i="20"/>
  <c r="N267" i="20"/>
  <c r="O267" i="20"/>
  <c r="B268" i="20"/>
  <c r="L267" i="20"/>
  <c r="M267" i="20"/>
  <c r="B269" i="20"/>
  <c r="L268" i="20"/>
  <c r="M268" i="20"/>
  <c r="K268" i="20"/>
  <c r="J269" i="20"/>
  <c r="N268" i="20"/>
  <c r="O268" i="20"/>
  <c r="K269" i="20"/>
  <c r="J270" i="20"/>
  <c r="N269" i="20"/>
  <c r="O269" i="20"/>
  <c r="B270" i="20"/>
  <c r="L269" i="20"/>
  <c r="M269" i="20"/>
  <c r="B271" i="20"/>
  <c r="L270" i="20"/>
  <c r="M270" i="20"/>
  <c r="K270" i="20"/>
  <c r="J271" i="20"/>
  <c r="N270" i="20"/>
  <c r="O270" i="20"/>
  <c r="J272" i="20"/>
  <c r="K271" i="20"/>
  <c r="N271" i="20"/>
  <c r="O271" i="20"/>
  <c r="L271" i="20"/>
  <c r="M271" i="20"/>
  <c r="B272" i="20"/>
  <c r="K272" i="20"/>
  <c r="J273" i="20"/>
  <c r="N272" i="20"/>
  <c r="O272" i="20"/>
  <c r="B273" i="20"/>
  <c r="L272" i="20"/>
  <c r="M272" i="20"/>
  <c r="K273" i="20"/>
  <c r="J274" i="20"/>
  <c r="N273" i="20"/>
  <c r="O273" i="20"/>
  <c r="B274" i="20"/>
  <c r="L273" i="20"/>
  <c r="M273" i="20"/>
  <c r="K274" i="20"/>
  <c r="J275" i="20"/>
  <c r="N274" i="20"/>
  <c r="O274" i="20"/>
  <c r="B275" i="20"/>
  <c r="L274" i="20"/>
  <c r="M274" i="20"/>
  <c r="J276" i="20"/>
  <c r="K275" i="20"/>
  <c r="N275" i="20"/>
  <c r="O275" i="20"/>
  <c r="B276" i="20"/>
  <c r="L275" i="20"/>
  <c r="M275" i="20"/>
  <c r="L276" i="20"/>
  <c r="M276" i="20"/>
  <c r="B277" i="20"/>
  <c r="J277" i="20"/>
  <c r="K276" i="20"/>
  <c r="N276" i="20"/>
  <c r="O276" i="20"/>
  <c r="L277" i="20"/>
  <c r="M277" i="20"/>
  <c r="B278" i="20"/>
  <c r="K277" i="20"/>
  <c r="J278" i="20"/>
  <c r="N277" i="20"/>
  <c r="O277" i="20"/>
  <c r="J279" i="20"/>
  <c r="K278" i="20"/>
  <c r="N278" i="20"/>
  <c r="O278" i="20"/>
  <c r="B279" i="20"/>
  <c r="L278" i="20"/>
  <c r="M278" i="20"/>
  <c r="B280" i="20"/>
  <c r="L279" i="20"/>
  <c r="M279" i="20"/>
  <c r="K279" i="20"/>
  <c r="J280" i="20"/>
  <c r="N279" i="20"/>
  <c r="O279" i="20"/>
  <c r="K280" i="20"/>
  <c r="J281" i="20"/>
  <c r="N280" i="20"/>
  <c r="O280" i="20"/>
  <c r="B281" i="20"/>
  <c r="L280" i="20"/>
  <c r="M280" i="20"/>
  <c r="B282" i="20"/>
  <c r="L281" i="20"/>
  <c r="M281" i="20"/>
  <c r="J282" i="20"/>
  <c r="K281" i="20"/>
  <c r="N281" i="20"/>
  <c r="O281" i="20"/>
  <c r="J283" i="20"/>
  <c r="K282" i="20"/>
  <c r="N282" i="20"/>
  <c r="O282" i="20"/>
  <c r="B283" i="20"/>
  <c r="L282" i="20"/>
  <c r="M282" i="20"/>
  <c r="K283" i="20"/>
  <c r="J284" i="20"/>
  <c r="N283" i="20"/>
  <c r="O283" i="20"/>
  <c r="B284" i="20"/>
  <c r="L283" i="20"/>
  <c r="M283" i="20"/>
  <c r="L284" i="20"/>
  <c r="M284" i="20"/>
  <c r="B285" i="20"/>
  <c r="J285" i="20"/>
  <c r="K284" i="20"/>
  <c r="N284" i="20"/>
  <c r="O284" i="20"/>
  <c r="K285" i="20"/>
  <c r="J286" i="20"/>
  <c r="N285" i="20"/>
  <c r="O285" i="20"/>
  <c r="B286" i="20"/>
  <c r="L285" i="20"/>
  <c r="M285" i="20"/>
  <c r="J287" i="20"/>
  <c r="K286" i="20"/>
  <c r="N286" i="20"/>
  <c r="O286" i="20"/>
  <c r="B287" i="20"/>
  <c r="L286" i="20"/>
  <c r="M286" i="20"/>
  <c r="J288" i="20"/>
  <c r="K287" i="20"/>
  <c r="N287" i="20"/>
  <c r="O287" i="20"/>
  <c r="B288" i="20"/>
  <c r="L287" i="20"/>
  <c r="M287" i="20"/>
  <c r="L288" i="20"/>
  <c r="M288" i="20"/>
  <c r="B289" i="20"/>
  <c r="K288" i="20"/>
  <c r="J289" i="20"/>
  <c r="N288" i="20"/>
  <c r="O288" i="20"/>
  <c r="K289" i="20"/>
  <c r="J290" i="20"/>
  <c r="N289" i="20"/>
  <c r="O289" i="20"/>
  <c r="B290" i="20"/>
  <c r="L289" i="20"/>
  <c r="M289" i="20"/>
  <c r="B291" i="20"/>
  <c r="L290" i="20"/>
  <c r="M290" i="20"/>
  <c r="J291" i="20"/>
  <c r="K290" i="20"/>
  <c r="N290" i="20"/>
  <c r="O290" i="20"/>
  <c r="K291" i="20"/>
  <c r="J292" i="20"/>
  <c r="N291" i="20"/>
  <c r="O291" i="20"/>
  <c r="B292" i="20"/>
  <c r="L291" i="20"/>
  <c r="M291" i="20"/>
  <c r="B293" i="20"/>
  <c r="L292" i="20"/>
  <c r="M292" i="20"/>
  <c r="K292" i="20"/>
  <c r="J293" i="20"/>
  <c r="N292" i="20"/>
  <c r="O292" i="20"/>
  <c r="J294" i="20"/>
  <c r="K293" i="20"/>
  <c r="N293" i="20"/>
  <c r="O293" i="20"/>
  <c r="B294" i="20"/>
  <c r="L293" i="20"/>
  <c r="M293" i="20"/>
  <c r="L294" i="20"/>
  <c r="M294" i="20"/>
  <c r="B295" i="20"/>
  <c r="J295" i="20"/>
  <c r="K294" i="20"/>
  <c r="N294" i="20"/>
  <c r="O294" i="20"/>
  <c r="L295" i="20"/>
  <c r="M295" i="20"/>
  <c r="B296" i="20"/>
  <c r="J296" i="20"/>
  <c r="K295" i="20"/>
  <c r="N295" i="20"/>
  <c r="O295" i="20"/>
  <c r="B297" i="20"/>
  <c r="L296" i="20"/>
  <c r="M296" i="20"/>
  <c r="K296" i="20"/>
  <c r="J297" i="20"/>
  <c r="N296" i="20"/>
  <c r="O296" i="20"/>
  <c r="J298" i="20"/>
  <c r="K297" i="20"/>
  <c r="N297" i="20"/>
  <c r="O297" i="20"/>
  <c r="B298" i="20"/>
  <c r="L297" i="20"/>
  <c r="M297" i="20"/>
  <c r="B299" i="20"/>
  <c r="L298" i="20"/>
  <c r="M298" i="20"/>
  <c r="K298" i="20"/>
  <c r="J299" i="20"/>
  <c r="N298" i="20"/>
  <c r="O298" i="20"/>
  <c r="K299" i="20"/>
  <c r="J300" i="20"/>
  <c r="N299" i="20"/>
  <c r="O299" i="20"/>
  <c r="L299" i="20"/>
  <c r="M299" i="20"/>
  <c r="B300" i="20"/>
  <c r="B301" i="20"/>
  <c r="L300" i="20"/>
  <c r="M300" i="20"/>
  <c r="K300" i="20"/>
  <c r="J301" i="20"/>
  <c r="N300" i="20"/>
  <c r="O300" i="20"/>
  <c r="B302" i="20"/>
  <c r="L301" i="20"/>
  <c r="M301" i="20"/>
  <c r="K301" i="20"/>
  <c r="J302" i="20"/>
  <c r="N301" i="20"/>
  <c r="O301" i="20"/>
  <c r="B303" i="20"/>
  <c r="L302" i="20"/>
  <c r="M302" i="20"/>
  <c r="K302" i="20"/>
  <c r="J303" i="20"/>
  <c r="N302" i="20"/>
  <c r="O302" i="20"/>
  <c r="J304" i="20"/>
  <c r="K303" i="20"/>
  <c r="N303" i="20"/>
  <c r="O303" i="20"/>
  <c r="L303" i="20"/>
  <c r="M303" i="20"/>
  <c r="B304" i="20"/>
  <c r="B305" i="20"/>
  <c r="L304" i="20"/>
  <c r="M304" i="20"/>
  <c r="K304" i="20"/>
  <c r="J305" i="20"/>
  <c r="N304" i="20"/>
  <c r="O304" i="20"/>
  <c r="B306" i="20"/>
  <c r="L305" i="20"/>
  <c r="M305" i="20"/>
  <c r="J306" i="20"/>
  <c r="K305" i="20"/>
  <c r="N305" i="20"/>
  <c r="O305" i="20"/>
  <c r="J307" i="20"/>
  <c r="K306" i="20"/>
  <c r="N306" i="20"/>
  <c r="O306" i="20"/>
  <c r="B307" i="20"/>
  <c r="L306" i="20"/>
  <c r="M306" i="20"/>
  <c r="B308" i="20"/>
  <c r="L307" i="20"/>
  <c r="M307" i="20"/>
  <c r="J308" i="20"/>
  <c r="K307" i="20"/>
  <c r="N307" i="20"/>
  <c r="O307" i="20"/>
  <c r="K308" i="20"/>
  <c r="J309" i="20"/>
  <c r="N308" i="20"/>
  <c r="O308" i="20"/>
  <c r="B309" i="20"/>
  <c r="L308" i="20"/>
  <c r="M308" i="20"/>
  <c r="K309" i="20"/>
  <c r="J310" i="20"/>
  <c r="N309" i="20"/>
  <c r="O309" i="20"/>
  <c r="L309" i="20"/>
  <c r="M309" i="20"/>
  <c r="B310" i="20"/>
  <c r="B311" i="20"/>
  <c r="L310" i="20"/>
  <c r="M310" i="20"/>
  <c r="J311" i="20"/>
  <c r="K310" i="20"/>
  <c r="N310" i="20"/>
  <c r="O310" i="20"/>
  <c r="L311" i="20"/>
  <c r="M311" i="20"/>
  <c r="B312" i="20"/>
  <c r="J312" i="20"/>
  <c r="K311" i="20"/>
  <c r="N311" i="20"/>
  <c r="O311" i="20"/>
  <c r="K312" i="20"/>
  <c r="J313" i="20"/>
  <c r="N312" i="20"/>
  <c r="O312" i="20"/>
  <c r="B313" i="20"/>
  <c r="L312" i="20"/>
  <c r="M312" i="20"/>
  <c r="B314" i="20"/>
  <c r="L313" i="20"/>
  <c r="M313" i="20"/>
  <c r="J314" i="20"/>
  <c r="K313" i="20"/>
  <c r="N313" i="20"/>
  <c r="O313" i="20"/>
  <c r="K314" i="20"/>
  <c r="J315" i="20"/>
  <c r="N314" i="20"/>
  <c r="O314" i="20"/>
  <c r="B315" i="20"/>
  <c r="L314" i="20"/>
  <c r="M314" i="20"/>
  <c r="L315" i="20"/>
  <c r="M315" i="20"/>
  <c r="B316" i="20"/>
  <c r="J316" i="20"/>
  <c r="K315" i="20"/>
  <c r="N315" i="20"/>
  <c r="O315" i="20"/>
  <c r="K316" i="20"/>
  <c r="J317" i="20"/>
  <c r="N316" i="20"/>
  <c r="O316" i="20"/>
  <c r="B317" i="20"/>
  <c r="L316" i="20"/>
  <c r="M316" i="20"/>
  <c r="B318" i="20"/>
  <c r="L317" i="20"/>
  <c r="M317" i="20"/>
  <c r="J318" i="20"/>
  <c r="K317" i="20"/>
  <c r="N317" i="20"/>
  <c r="O317" i="20"/>
  <c r="K318" i="20"/>
  <c r="J319" i="20"/>
  <c r="N318" i="20"/>
  <c r="O318" i="20"/>
  <c r="B319" i="20"/>
  <c r="L318" i="20"/>
  <c r="M318" i="20"/>
  <c r="B320" i="20"/>
  <c r="L319" i="20"/>
  <c r="M319" i="20"/>
  <c r="K319" i="20"/>
  <c r="J320" i="20"/>
  <c r="N319" i="20"/>
  <c r="O319" i="20"/>
  <c r="J321" i="20"/>
  <c r="K320" i="20"/>
  <c r="N320" i="20"/>
  <c r="O320" i="20"/>
  <c r="L320" i="20"/>
  <c r="M320" i="20"/>
  <c r="B321" i="20"/>
  <c r="B322" i="20"/>
  <c r="L321" i="20"/>
  <c r="M321" i="20"/>
  <c r="K321" i="20"/>
  <c r="J322" i="20"/>
  <c r="N321" i="20"/>
  <c r="O321" i="20"/>
  <c r="J323" i="20"/>
  <c r="K322" i="20"/>
  <c r="N322" i="20"/>
  <c r="O322" i="20"/>
  <c r="B323" i="20"/>
  <c r="L322" i="20"/>
  <c r="M322" i="20"/>
  <c r="K323" i="20"/>
  <c r="J324" i="20"/>
  <c r="N323" i="20"/>
  <c r="O323" i="20"/>
  <c r="L323" i="20"/>
  <c r="M323" i="20"/>
  <c r="B324" i="20"/>
  <c r="J325" i="20"/>
  <c r="K324" i="20"/>
  <c r="N324" i="20"/>
  <c r="O324" i="20"/>
  <c r="B325" i="20"/>
  <c r="L324" i="20"/>
  <c r="M324" i="20"/>
  <c r="J326" i="20"/>
  <c r="K325" i="20"/>
  <c r="N325" i="20"/>
  <c r="O325" i="20"/>
  <c r="L325" i="20"/>
  <c r="M325" i="20"/>
  <c r="B326" i="20"/>
  <c r="K326" i="20"/>
  <c r="J327" i="20"/>
  <c r="N326" i="20"/>
  <c r="O326" i="20"/>
  <c r="L326" i="20"/>
  <c r="M326" i="20"/>
  <c r="B327" i="20"/>
  <c r="J328" i="20"/>
  <c r="K327" i="20"/>
  <c r="N327" i="20"/>
  <c r="O327" i="20"/>
  <c r="L327" i="20"/>
  <c r="M327" i="20"/>
  <c r="B328" i="20"/>
  <c r="K328" i="20"/>
  <c r="J329" i="20"/>
  <c r="N328" i="20"/>
  <c r="O328" i="20"/>
  <c r="B329" i="20"/>
  <c r="L328" i="20"/>
  <c r="M328" i="20"/>
  <c r="J330" i="20"/>
  <c r="K329" i="20"/>
  <c r="N329" i="20"/>
  <c r="O329" i="20"/>
  <c r="B330" i="20"/>
  <c r="L329" i="20"/>
  <c r="M329" i="20"/>
  <c r="J331" i="20"/>
  <c r="K330" i="20"/>
  <c r="N330" i="20"/>
  <c r="O330" i="20"/>
  <c r="L330" i="20"/>
  <c r="M330" i="20"/>
  <c r="B331" i="20"/>
  <c r="J332" i="20"/>
  <c r="K331" i="20"/>
  <c r="N331" i="20"/>
  <c r="O331" i="20"/>
  <c r="B332" i="20"/>
  <c r="L331" i="20"/>
  <c r="M331" i="20"/>
  <c r="K332" i="20"/>
  <c r="J333" i="20"/>
  <c r="N332" i="20"/>
  <c r="O332" i="20"/>
  <c r="L332" i="20"/>
  <c r="M332" i="20"/>
  <c r="B333" i="20"/>
  <c r="B334" i="20"/>
  <c r="L333" i="20"/>
  <c r="M333" i="20"/>
  <c r="J334" i="20"/>
  <c r="K333" i="20"/>
  <c r="N333" i="20"/>
  <c r="O333" i="20"/>
  <c r="J335" i="20"/>
  <c r="K334" i="20"/>
  <c r="N334" i="20"/>
  <c r="O334" i="20"/>
  <c r="L334" i="20"/>
  <c r="M334" i="20"/>
  <c r="B335" i="20"/>
  <c r="J336" i="20"/>
  <c r="K335" i="20"/>
  <c r="N335" i="20"/>
  <c r="O335" i="20"/>
  <c r="B336" i="20"/>
  <c r="L335" i="20"/>
  <c r="M335" i="20"/>
  <c r="J337" i="20"/>
  <c r="K336" i="20"/>
  <c r="N336" i="20"/>
  <c r="O336" i="20"/>
  <c r="B337" i="20"/>
  <c r="L336" i="20"/>
  <c r="M336" i="20"/>
  <c r="K337" i="20"/>
  <c r="J338" i="20"/>
  <c r="N337" i="20"/>
  <c r="O337" i="20"/>
  <c r="B338" i="20"/>
  <c r="L337" i="20"/>
  <c r="M337" i="20"/>
  <c r="K338" i="20"/>
  <c r="J339" i="20"/>
  <c r="N338" i="20"/>
  <c r="O338" i="20"/>
  <c r="L338" i="20"/>
  <c r="M338" i="20"/>
  <c r="B339" i="20"/>
  <c r="K339" i="20"/>
  <c r="J340" i="20"/>
  <c r="N339" i="20"/>
  <c r="O339" i="20"/>
  <c r="B340" i="20"/>
  <c r="L339" i="20"/>
  <c r="M339" i="20"/>
  <c r="L340" i="20"/>
  <c r="M340" i="20"/>
  <c r="B341" i="20"/>
  <c r="J341" i="20"/>
  <c r="K340" i="20"/>
  <c r="N340" i="20"/>
  <c r="O340" i="20"/>
  <c r="K341" i="20"/>
  <c r="J342" i="20"/>
  <c r="N341" i="20"/>
  <c r="O341" i="20"/>
  <c r="B342" i="20"/>
  <c r="L341" i="20"/>
  <c r="M341" i="20"/>
  <c r="L342" i="20"/>
  <c r="M342" i="20"/>
  <c r="B343" i="20"/>
  <c r="K342" i="20"/>
  <c r="J343" i="20"/>
  <c r="N342" i="20"/>
  <c r="O342" i="20"/>
  <c r="K343" i="20"/>
  <c r="J344" i="20"/>
  <c r="N343" i="20"/>
  <c r="O343" i="20"/>
  <c r="L343" i="20"/>
  <c r="M343" i="20"/>
  <c r="B344" i="20"/>
  <c r="J345" i="20"/>
  <c r="K344" i="20"/>
  <c r="N344" i="20"/>
  <c r="O344" i="20"/>
  <c r="L344" i="20"/>
  <c r="M344" i="20"/>
  <c r="B345" i="20"/>
  <c r="L345" i="20"/>
  <c r="M345" i="20"/>
  <c r="B346" i="20"/>
  <c r="K345" i="20"/>
  <c r="J346" i="20"/>
  <c r="N345" i="20"/>
  <c r="O345" i="20"/>
  <c r="J347" i="20"/>
  <c r="K346" i="20"/>
  <c r="N346" i="20"/>
  <c r="O346" i="20"/>
  <c r="B347" i="20"/>
  <c r="L346" i="20"/>
  <c r="M346" i="20"/>
  <c r="L347" i="20"/>
  <c r="M347" i="20"/>
  <c r="B348" i="20"/>
  <c r="K347" i="20"/>
  <c r="J348" i="20"/>
  <c r="N347" i="20"/>
  <c r="O347" i="20"/>
  <c r="J349" i="20"/>
  <c r="K348" i="20"/>
  <c r="N348" i="20"/>
  <c r="O348" i="20"/>
  <c r="B349" i="20"/>
  <c r="L348" i="20"/>
  <c r="M348" i="20"/>
  <c r="B350" i="20"/>
  <c r="L349" i="20"/>
  <c r="M349" i="20"/>
  <c r="J350" i="20"/>
  <c r="K349" i="20"/>
  <c r="N349" i="20"/>
  <c r="O349" i="20"/>
  <c r="K350" i="20"/>
  <c r="J351" i="20"/>
  <c r="N350" i="20"/>
  <c r="O350" i="20"/>
  <c r="B351" i="20"/>
  <c r="L350" i="20"/>
  <c r="M350" i="20"/>
  <c r="B352" i="20"/>
  <c r="L351" i="20"/>
  <c r="M351" i="20"/>
  <c r="K351" i="20"/>
  <c r="J352" i="20"/>
  <c r="N351" i="20"/>
  <c r="O351" i="20"/>
  <c r="K352" i="20"/>
  <c r="J353" i="20"/>
  <c r="N352" i="20"/>
  <c r="O352" i="20"/>
  <c r="B353" i="20"/>
  <c r="L352" i="20"/>
  <c r="M352" i="20"/>
  <c r="K353" i="20"/>
  <c r="J354" i="20"/>
  <c r="N353" i="20"/>
  <c r="O353" i="20"/>
  <c r="L353" i="20"/>
  <c r="M353" i="20"/>
  <c r="B354" i="20"/>
  <c r="B355" i="20"/>
  <c r="L354" i="20"/>
  <c r="M354" i="20"/>
  <c r="K354" i="20"/>
  <c r="J355" i="20"/>
  <c r="N354" i="20"/>
  <c r="O354" i="20"/>
  <c r="J356" i="20"/>
  <c r="K355" i="20"/>
  <c r="N355" i="20"/>
  <c r="O355" i="20"/>
  <c r="L355" i="20"/>
  <c r="M355" i="20"/>
  <c r="B356" i="20"/>
  <c r="B357" i="20"/>
  <c r="L356" i="20"/>
  <c r="M356" i="20"/>
  <c r="K356" i="20"/>
  <c r="J357" i="20"/>
  <c r="N356" i="20"/>
  <c r="O356" i="20"/>
  <c r="J358" i="20"/>
  <c r="K357" i="20"/>
  <c r="N357" i="20"/>
  <c r="O357" i="20"/>
  <c r="B358" i="20"/>
  <c r="L357" i="20"/>
  <c r="M357" i="20"/>
  <c r="B359" i="20"/>
  <c r="L358" i="20"/>
  <c r="M358" i="20"/>
  <c r="K358" i="20"/>
  <c r="J359" i="20"/>
  <c r="N358" i="20"/>
  <c r="O358" i="20"/>
  <c r="L359" i="20"/>
  <c r="M359" i="20"/>
  <c r="B360" i="20"/>
  <c r="J360" i="20"/>
  <c r="K359" i="20"/>
  <c r="N359" i="20"/>
  <c r="O359" i="20"/>
  <c r="L360" i="20"/>
  <c r="M360" i="20"/>
  <c r="B361" i="20"/>
  <c r="J361" i="20"/>
  <c r="K360" i="20"/>
  <c r="N360" i="20"/>
  <c r="O360" i="20"/>
  <c r="K361" i="20"/>
  <c r="J362" i="20"/>
  <c r="N361" i="20"/>
  <c r="O361" i="20"/>
  <c r="L361" i="20"/>
  <c r="M361" i="20"/>
  <c r="B362" i="20"/>
  <c r="L362" i="20"/>
  <c r="M362" i="20"/>
  <c r="B363" i="20"/>
  <c r="J363" i="20"/>
  <c r="K362" i="20"/>
  <c r="N362" i="20"/>
  <c r="O362" i="20"/>
  <c r="K363" i="20"/>
  <c r="J364" i="20"/>
  <c r="N363" i="20"/>
  <c r="O363" i="20"/>
  <c r="L363" i="20"/>
  <c r="M363" i="20"/>
  <c r="B364" i="20"/>
  <c r="K364" i="20"/>
  <c r="K366" i="20"/>
  <c r="N364" i="20"/>
  <c r="N366" i="20"/>
  <c r="J366" i="20"/>
  <c r="L364" i="20"/>
  <c r="L366" i="20"/>
  <c r="B366" i="20"/>
  <c r="O364" i="20"/>
  <c r="O366" i="20"/>
  <c r="M364" i="20"/>
  <c r="M366" i="20"/>
  <c r="C3" i="13" l="1"/>
  <c r="B3" i="13" s="1"/>
  <c r="B5" i="18" s="1"/>
  <c r="B4" i="13" s="1"/>
  <c r="B15" i="13" s="1"/>
  <c r="B5" i="17"/>
  <c r="C30" i="13"/>
  <c r="B14" i="17"/>
  <c r="B31" i="17" s="1"/>
  <c r="B28" i="13"/>
  <c r="B14" i="16"/>
  <c r="B5" i="13"/>
  <c r="B7" i="13" s="1"/>
  <c r="B18" i="13"/>
  <c r="D26" i="13"/>
  <c r="D13" i="16" s="1"/>
  <c r="B24" i="13" l="1"/>
  <c r="C6" i="13"/>
  <c r="B13" i="13"/>
  <c r="B14" i="13" s="1"/>
  <c r="C23" i="13"/>
  <c r="B11" i="13"/>
  <c r="B13" i="17"/>
  <c r="D1" i="5"/>
  <c r="C13" i="17"/>
  <c r="B5" i="16"/>
  <c r="B25" i="13"/>
  <c r="C25" i="13" s="1"/>
  <c r="C24" i="13"/>
  <c r="B19" i="13" s="1"/>
  <c r="B10" i="16"/>
  <c r="C10" i="16" s="1"/>
  <c r="C16" i="16"/>
  <c r="C9" i="16" l="1"/>
  <c r="B23" i="16"/>
  <c r="B19" i="16"/>
  <c r="B31" i="13"/>
  <c r="D235" i="5"/>
  <c r="D247" i="5"/>
  <c r="C356" i="5"/>
  <c r="C5" i="5"/>
  <c r="B21" i="13" s="1"/>
  <c r="C6" i="5"/>
  <c r="C220" i="5"/>
  <c r="D308" i="5"/>
  <c r="D143" i="5"/>
  <c r="C107" i="5"/>
  <c r="C118" i="5"/>
  <c r="D15" i="5"/>
  <c r="D84" i="5"/>
  <c r="D311" i="5"/>
  <c r="D113" i="5"/>
  <c r="C199" i="5"/>
  <c r="C16" i="5"/>
  <c r="C45" i="5"/>
  <c r="D101" i="5"/>
  <c r="D335" i="5"/>
  <c r="D296" i="5"/>
  <c r="D32" i="5"/>
  <c r="D80" i="5"/>
  <c r="D346" i="5"/>
  <c r="C257" i="5"/>
  <c r="D299" i="5"/>
  <c r="C317" i="5"/>
  <c r="D168" i="5"/>
  <c r="C186" i="5"/>
  <c r="C292" i="5"/>
  <c r="D166" i="5"/>
  <c r="D281" i="5"/>
  <c r="D363" i="5"/>
  <c r="C351" i="5"/>
  <c r="C217" i="5"/>
  <c r="C241" i="5"/>
  <c r="C342" i="5"/>
  <c r="D240" i="5"/>
  <c r="C339" i="5"/>
  <c r="C115" i="5"/>
  <c r="C73" i="5"/>
  <c r="D333" i="5"/>
  <c r="C26" i="5"/>
  <c r="D43" i="5"/>
  <c r="C27" i="5"/>
  <c r="C313" i="5"/>
  <c r="C95" i="5"/>
  <c r="C223" i="5"/>
  <c r="C15" i="5"/>
  <c r="C247" i="5"/>
  <c r="C157" i="5"/>
  <c r="D88" i="5"/>
  <c r="D37" i="5"/>
  <c r="C77" i="5"/>
  <c r="D142" i="5"/>
  <c r="C335" i="5"/>
  <c r="C70" i="5"/>
  <c r="C143" i="5"/>
  <c r="D129" i="5"/>
  <c r="C9" i="5"/>
  <c r="D302" i="5"/>
  <c r="D95" i="5"/>
  <c r="D261" i="5"/>
  <c r="D194" i="5"/>
  <c r="D179" i="5"/>
  <c r="C76" i="5"/>
  <c r="C295" i="5"/>
  <c r="D359" i="5"/>
  <c r="C12" i="5"/>
  <c r="D319" i="5"/>
  <c r="D246" i="5"/>
  <c r="C35" i="5"/>
  <c r="C148" i="5"/>
  <c r="D42" i="5"/>
  <c r="C159" i="5"/>
  <c r="D146" i="5"/>
  <c r="D126" i="5"/>
  <c r="C207" i="5"/>
  <c r="C363" i="5"/>
  <c r="C328" i="5"/>
  <c r="C350" i="5"/>
  <c r="C281" i="5"/>
  <c r="C122" i="5"/>
  <c r="D216" i="5"/>
  <c r="D124" i="5"/>
  <c r="D355" i="5"/>
  <c r="C69" i="5"/>
  <c r="D201" i="5"/>
  <c r="C361" i="5"/>
  <c r="D51" i="5"/>
  <c r="C25" i="5"/>
  <c r="D313" i="5"/>
  <c r="C58" i="5"/>
  <c r="C59" i="5"/>
  <c r="D268" i="5"/>
  <c r="C197" i="5"/>
  <c r="D288" i="5"/>
  <c r="C85" i="5"/>
  <c r="C284" i="5"/>
  <c r="C287" i="5"/>
  <c r="C8" i="5"/>
  <c r="J5" i="5"/>
  <c r="C60" i="5"/>
  <c r="C228" i="5"/>
  <c r="C360" i="5"/>
  <c r="C357" i="5"/>
  <c r="C49" i="5"/>
  <c r="D325" i="5"/>
  <c r="C78" i="5"/>
  <c r="C270" i="5"/>
  <c r="D67" i="5"/>
  <c r="C89" i="5"/>
  <c r="D138" i="5"/>
  <c r="C17" i="5"/>
  <c r="D130" i="5"/>
  <c r="D356" i="5"/>
  <c r="C7" i="5"/>
  <c r="D329" i="5"/>
  <c r="D273" i="5"/>
  <c r="C11" i="5"/>
  <c r="D226" i="5"/>
  <c r="C168" i="5"/>
  <c r="C67" i="5"/>
  <c r="C173" i="5"/>
  <c r="C125" i="5"/>
  <c r="D256" i="5"/>
  <c r="D187" i="5"/>
  <c r="D184" i="5"/>
  <c r="C75" i="5"/>
  <c r="D207" i="5"/>
  <c r="D72" i="5"/>
  <c r="C315" i="5"/>
  <c r="C117" i="5"/>
  <c r="C84" i="5"/>
  <c r="C299" i="5"/>
  <c r="C205" i="5"/>
  <c r="C208" i="5"/>
  <c r="C41" i="5"/>
  <c r="D158" i="5"/>
  <c r="C175" i="5"/>
  <c r="D239" i="5"/>
  <c r="C194" i="5"/>
  <c r="D284" i="5"/>
  <c r="C289" i="5"/>
  <c r="C74" i="5"/>
  <c r="C43" i="5"/>
  <c r="D114" i="5"/>
  <c r="C337" i="5"/>
  <c r="C349" i="5"/>
  <c r="C254" i="5"/>
  <c r="C192" i="5"/>
  <c r="C182" i="5"/>
  <c r="C195" i="5"/>
  <c r="C50" i="5"/>
  <c r="D98" i="5"/>
  <c r="D136" i="5"/>
  <c r="C119" i="5"/>
  <c r="D173" i="5"/>
  <c r="D338" i="5"/>
  <c r="C56" i="5"/>
  <c r="C288" i="5"/>
  <c r="D218" i="5"/>
  <c r="C24" i="5"/>
  <c r="C111" i="5"/>
  <c r="C72" i="5"/>
  <c r="D248" i="5"/>
  <c r="D361" i="5"/>
  <c r="D110" i="5"/>
  <c r="C104" i="5"/>
  <c r="C262" i="5"/>
  <c r="C150" i="5"/>
  <c r="C28" i="5"/>
  <c r="D23" i="5"/>
  <c r="C80" i="5"/>
  <c r="D293" i="5"/>
  <c r="D123" i="5"/>
  <c r="D154" i="5"/>
  <c r="C263" i="5"/>
  <c r="C18" i="5"/>
  <c r="D351" i="5"/>
  <c r="C151" i="5"/>
  <c r="D280" i="5"/>
  <c r="C341" i="5"/>
  <c r="C331" i="5"/>
  <c r="D352" i="5"/>
  <c r="D159" i="5"/>
  <c r="D212" i="5"/>
  <c r="C153" i="5"/>
  <c r="C256" i="5"/>
  <c r="C140" i="5"/>
  <c r="D271" i="5"/>
  <c r="D141" i="5"/>
  <c r="D64" i="5"/>
  <c r="D133" i="5"/>
  <c r="C152" i="5"/>
  <c r="D192" i="5"/>
  <c r="D96" i="5"/>
  <c r="D343" i="5"/>
  <c r="C132" i="5"/>
  <c r="C110" i="5"/>
  <c r="C222" i="5"/>
  <c r="C326" i="5"/>
  <c r="C340" i="5"/>
  <c r="D119" i="5"/>
  <c r="D60" i="5"/>
  <c r="C253" i="5"/>
  <c r="C90" i="5"/>
  <c r="D91" i="5"/>
  <c r="D93" i="5"/>
  <c r="D337" i="5"/>
  <c r="D220" i="5"/>
  <c r="D57" i="5"/>
  <c r="C268" i="5"/>
  <c r="C300" i="5"/>
  <c r="D128" i="5"/>
  <c r="C154" i="5"/>
  <c r="C39" i="5"/>
  <c r="D233" i="5"/>
  <c r="C170" i="5"/>
  <c r="C160" i="5"/>
  <c r="C229" i="5"/>
  <c r="D156" i="5"/>
  <c r="C344" i="5"/>
  <c r="C103" i="5"/>
  <c r="D215" i="5"/>
  <c r="D82" i="5"/>
  <c r="C307" i="5"/>
  <c r="D354" i="5"/>
  <c r="D22" i="5"/>
  <c r="C105" i="5"/>
  <c r="D277" i="5"/>
  <c r="C259" i="5"/>
  <c r="D260" i="5"/>
  <c r="C200" i="5"/>
  <c r="D263" i="5"/>
  <c r="D274" i="5"/>
  <c r="D99" i="5"/>
  <c r="D144" i="5"/>
  <c r="D353" i="5"/>
  <c r="D149" i="5"/>
  <c r="C249" i="5"/>
  <c r="C198" i="5"/>
  <c r="C46" i="5"/>
  <c r="C38" i="5"/>
  <c r="C135" i="5"/>
  <c r="D73" i="5"/>
  <c r="C155" i="5"/>
  <c r="D222" i="5"/>
  <c r="C181" i="5"/>
  <c r="C42" i="5"/>
  <c r="D229" i="5"/>
  <c r="C48" i="5"/>
  <c r="D269" i="5"/>
  <c r="D258" i="5"/>
  <c r="D297" i="5"/>
  <c r="C161" i="5"/>
  <c r="D186" i="5"/>
  <c r="D167" i="5"/>
  <c r="C264" i="5"/>
  <c r="C353" i="5"/>
  <c r="C327" i="5"/>
  <c r="C136" i="5"/>
  <c r="C86" i="5"/>
  <c r="D341" i="5"/>
  <c r="D227" i="5"/>
  <c r="D347" i="5"/>
  <c r="C332" i="5"/>
  <c r="D31" i="5"/>
  <c r="D7" i="5"/>
  <c r="C345" i="5"/>
  <c r="C112" i="5"/>
  <c r="C212" i="5"/>
  <c r="D56" i="5"/>
  <c r="D245" i="5"/>
  <c r="C79" i="5"/>
  <c r="D257" i="5"/>
  <c r="D107" i="5"/>
  <c r="C252" i="5"/>
  <c r="C334" i="5"/>
  <c r="C34" i="5"/>
  <c r="C272" i="5"/>
  <c r="C120" i="5"/>
  <c r="D161" i="5"/>
  <c r="D231" i="5"/>
  <c r="C167" i="5"/>
  <c r="D328" i="5"/>
  <c r="D115" i="5"/>
  <c r="D238" i="5"/>
  <c r="C83" i="5"/>
  <c r="C66" i="5"/>
  <c r="C188" i="5"/>
  <c r="D45" i="5"/>
  <c r="C176" i="5"/>
  <c r="C130" i="5"/>
  <c r="C114" i="5"/>
  <c r="D100" i="5"/>
  <c r="D34" i="5"/>
  <c r="D177" i="5"/>
  <c r="D74" i="5"/>
  <c r="C32" i="5"/>
  <c r="C55" i="5"/>
  <c r="D78" i="5"/>
  <c r="C204" i="5"/>
  <c r="D324" i="5"/>
  <c r="D221" i="5"/>
  <c r="D315" i="5"/>
  <c r="D326" i="5"/>
  <c r="D27" i="5"/>
  <c r="D14" i="5"/>
  <c r="C97" i="5"/>
  <c r="D322" i="5"/>
  <c r="C279" i="5"/>
  <c r="C330" i="5"/>
  <c r="B5" i="5"/>
  <c r="C255" i="5"/>
  <c r="D6" i="5"/>
  <c r="C128" i="5"/>
  <c r="D285" i="5"/>
  <c r="C184" i="5"/>
  <c r="C44" i="5"/>
  <c r="D150" i="5"/>
  <c r="D46" i="5"/>
  <c r="C261" i="5"/>
  <c r="D208" i="5"/>
  <c r="C124" i="5"/>
  <c r="C303" i="5"/>
  <c r="D48" i="5"/>
  <c r="C123" i="5"/>
  <c r="C213" i="5"/>
  <c r="C116" i="5"/>
  <c r="D160" i="5"/>
  <c r="C98" i="5"/>
  <c r="C216" i="5"/>
  <c r="D228" i="5"/>
  <c r="D66" i="5"/>
  <c r="C93" i="5"/>
  <c r="D287" i="5"/>
  <c r="D232" i="5"/>
  <c r="C309" i="5"/>
  <c r="C40" i="5"/>
  <c r="D13" i="5"/>
  <c r="C166" i="5"/>
  <c r="C239" i="5"/>
  <c r="C99" i="5"/>
  <c r="C308" i="5"/>
  <c r="C294" i="5"/>
  <c r="D162" i="5"/>
  <c r="C286" i="5"/>
  <c r="C271" i="5"/>
  <c r="D87" i="5"/>
  <c r="D241" i="5"/>
  <c r="C260" i="5"/>
  <c r="C355" i="5"/>
  <c r="D316" i="5"/>
  <c r="C348" i="5"/>
  <c r="D195" i="5"/>
  <c r="D25" i="5"/>
  <c r="D176" i="5"/>
  <c r="D310" i="5"/>
  <c r="C245" i="5"/>
  <c r="C100" i="5"/>
  <c r="D362" i="5"/>
  <c r="C311" i="5"/>
  <c r="D291" i="5"/>
  <c r="C274" i="5"/>
  <c r="C82" i="5"/>
  <c r="D153" i="5"/>
  <c r="C47" i="5"/>
  <c r="C68" i="5"/>
  <c r="D178" i="5"/>
  <c r="C179" i="5"/>
  <c r="C218" i="5"/>
  <c r="C230" i="5"/>
  <c r="C174" i="5"/>
  <c r="C191" i="5"/>
  <c r="C280" i="5"/>
  <c r="D303" i="5"/>
  <c r="D24" i="5"/>
  <c r="C131" i="5"/>
  <c r="C258" i="5"/>
  <c r="D97" i="5"/>
  <c r="C31" i="5"/>
  <c r="C210" i="5"/>
  <c r="D181" i="5"/>
  <c r="C144" i="5"/>
  <c r="D8" i="5"/>
  <c r="C316" i="5"/>
  <c r="D198" i="5"/>
  <c r="C10" i="5"/>
  <c r="D255" i="5"/>
  <c r="C94" i="5"/>
  <c r="D292" i="5"/>
  <c r="C323" i="5"/>
  <c r="C225" i="5"/>
  <c r="C121" i="5"/>
  <c r="D309" i="5"/>
  <c r="C362" i="5"/>
  <c r="C14" i="5"/>
  <c r="D75" i="5"/>
  <c r="D140" i="5"/>
  <c r="D59" i="5"/>
  <c r="C282" i="5"/>
  <c r="C139" i="5"/>
  <c r="C325" i="5"/>
  <c r="C338" i="5"/>
  <c r="C346" i="5"/>
  <c r="D26" i="5"/>
  <c r="D276" i="5"/>
  <c r="D30" i="5"/>
  <c r="C141" i="5"/>
  <c r="D172" i="5"/>
  <c r="D318" i="5"/>
  <c r="D203" i="5"/>
  <c r="C171" i="5"/>
  <c r="D253" i="5"/>
  <c r="C37" i="5"/>
  <c r="D52" i="5"/>
  <c r="C165" i="5"/>
  <c r="D211" i="5"/>
  <c r="D47" i="5"/>
  <c r="C177" i="5"/>
  <c r="C64" i="5"/>
  <c r="D294" i="5"/>
  <c r="D18" i="5"/>
  <c r="C358" i="5"/>
  <c r="D106" i="5"/>
  <c r="C91" i="5"/>
  <c r="C352" i="5"/>
  <c r="C290" i="5"/>
  <c r="D193" i="5"/>
  <c r="C333" i="5"/>
  <c r="C162" i="5"/>
  <c r="C169" i="5"/>
  <c r="D206" i="5"/>
  <c r="C51" i="5"/>
  <c r="D28" i="5"/>
  <c r="D345" i="5"/>
  <c r="D334" i="5"/>
  <c r="C137" i="5"/>
  <c r="C314" i="5"/>
  <c r="D298" i="5"/>
  <c r="C273" i="5"/>
  <c r="C278" i="5"/>
  <c r="C30" i="5"/>
  <c r="D89" i="5"/>
  <c r="D214" i="5"/>
  <c r="C293" i="5"/>
  <c r="D135" i="5"/>
  <c r="D44" i="5"/>
  <c r="D300" i="5"/>
  <c r="D29" i="5"/>
  <c r="D127" i="5"/>
  <c r="C92" i="5"/>
  <c r="C29" i="5"/>
  <c r="C81" i="5"/>
  <c r="D210" i="5"/>
  <c r="C302" i="5"/>
  <c r="D148" i="5"/>
  <c r="D217" i="5"/>
  <c r="D183" i="5"/>
  <c r="D79" i="5"/>
  <c r="C233" i="5"/>
  <c r="C267" i="5"/>
  <c r="C277" i="5"/>
  <c r="D103" i="5"/>
  <c r="C306" i="5"/>
  <c r="D20" i="5"/>
  <c r="C52" i="5"/>
  <c r="D340" i="5"/>
  <c r="C237" i="5"/>
  <c r="D132" i="5"/>
  <c r="D199" i="5"/>
  <c r="D36" i="5"/>
  <c r="D180" i="5"/>
  <c r="C53" i="5"/>
  <c r="D209" i="5"/>
  <c r="D202" i="5"/>
  <c r="C164" i="5"/>
  <c r="D197" i="5"/>
  <c r="C33" i="5"/>
  <c r="C224" i="5"/>
  <c r="C354" i="5"/>
  <c r="D62" i="5"/>
  <c r="D85" i="5"/>
  <c r="C106" i="5"/>
  <c r="D134" i="5"/>
  <c r="C21" i="5"/>
  <c r="D252" i="5"/>
  <c r="C138" i="5"/>
  <c r="D17" i="5"/>
  <c r="C19" i="5"/>
  <c r="D9" i="5"/>
  <c r="D278" i="5"/>
  <c r="D120" i="5"/>
  <c r="C211" i="5"/>
  <c r="D65" i="5"/>
  <c r="C244" i="5"/>
  <c r="C283" i="5"/>
  <c r="D205" i="5"/>
  <c r="C359" i="5"/>
  <c r="C269" i="5"/>
  <c r="D196" i="5"/>
  <c r="D332" i="5"/>
  <c r="D182" i="5"/>
  <c r="D90" i="5"/>
  <c r="D270" i="5"/>
  <c r="D69" i="5"/>
  <c r="D350" i="5"/>
  <c r="C126" i="5"/>
  <c r="C146" i="5"/>
  <c r="D336" i="5"/>
  <c r="D283" i="5"/>
  <c r="C189" i="5"/>
  <c r="D117" i="5"/>
  <c r="C185" i="5"/>
  <c r="C57" i="5"/>
  <c r="C238" i="5"/>
  <c r="D111" i="5"/>
  <c r="D41" i="5"/>
  <c r="D165" i="5"/>
  <c r="C304" i="5"/>
  <c r="D242" i="5"/>
  <c r="C312" i="5"/>
  <c r="D317" i="5"/>
  <c r="C231" i="5"/>
  <c r="D55" i="5"/>
  <c r="C235" i="5"/>
  <c r="C250" i="5"/>
  <c r="D327" i="5"/>
  <c r="C329" i="5"/>
  <c r="C158" i="5"/>
  <c r="D290" i="5"/>
  <c r="D147" i="5"/>
  <c r="C96" i="5"/>
  <c r="D63" i="5"/>
  <c r="D264" i="5"/>
  <c r="D70" i="5"/>
  <c r="D189" i="5"/>
  <c r="C109" i="5"/>
  <c r="D105" i="5"/>
  <c r="D219" i="5"/>
  <c r="D175" i="5"/>
  <c r="D139" i="5"/>
  <c r="D131" i="5"/>
  <c r="D259" i="5"/>
  <c r="D163" i="5"/>
  <c r="C187" i="5"/>
  <c r="D267" i="5"/>
  <c r="D282" i="5"/>
  <c r="D21" i="5"/>
  <c r="C149" i="5"/>
  <c r="C246" i="5"/>
  <c r="C180" i="5"/>
  <c r="D58" i="5"/>
  <c r="C20" i="5"/>
  <c r="D358" i="5"/>
  <c r="C296" i="5"/>
  <c r="D200" i="5"/>
  <c r="C36" i="5"/>
  <c r="D223" i="5"/>
  <c r="C54" i="5"/>
  <c r="D86" i="5"/>
  <c r="D145" i="5"/>
  <c r="C297" i="5"/>
  <c r="D243" i="5"/>
  <c r="D122" i="5"/>
  <c r="C133" i="5"/>
  <c r="C88" i="5"/>
  <c r="C193" i="5"/>
  <c r="C242" i="5"/>
  <c r="D185" i="5"/>
  <c r="D236" i="5"/>
  <c r="D190" i="5"/>
  <c r="C203" i="5"/>
  <c r="C201" i="5"/>
  <c r="C190" i="5"/>
  <c r="C215" i="5"/>
  <c r="C251" i="5"/>
  <c r="C13" i="5"/>
  <c r="D342" i="5"/>
  <c r="C23" i="5"/>
  <c r="C62" i="5"/>
  <c r="D164" i="5"/>
  <c r="D289" i="5"/>
  <c r="C301" i="5"/>
  <c r="D250" i="5"/>
  <c r="D224" i="5"/>
  <c r="D77" i="5"/>
  <c r="D40" i="5"/>
  <c r="C206" i="5"/>
  <c r="D254" i="5"/>
  <c r="D249" i="5"/>
  <c r="C61" i="5"/>
  <c r="D76" i="5"/>
  <c r="C305" i="5"/>
  <c r="D157" i="5"/>
  <c r="C226" i="5"/>
  <c r="D112" i="5"/>
  <c r="C291" i="5"/>
  <c r="D213" i="5"/>
  <c r="D68" i="5"/>
  <c r="D286" i="5"/>
  <c r="D348" i="5"/>
  <c r="D92" i="5"/>
  <c r="D170" i="5"/>
  <c r="C336" i="5"/>
  <c r="D116" i="5"/>
  <c r="C364" i="5"/>
  <c r="D50" i="5"/>
  <c r="D265" i="5"/>
  <c r="D5" i="5"/>
  <c r="C275" i="5"/>
  <c r="D83" i="5"/>
  <c r="D191" i="5"/>
  <c r="D357" i="5"/>
  <c r="C183" i="5"/>
  <c r="C347" i="5"/>
  <c r="D306" i="5"/>
  <c r="D155" i="5"/>
  <c r="C209" i="5"/>
  <c r="C147" i="5"/>
  <c r="D11" i="5"/>
  <c r="C202" i="5"/>
  <c r="D16" i="5"/>
  <c r="C234" i="5"/>
  <c r="C219" i="5"/>
  <c r="D272" i="5"/>
  <c r="D174" i="5"/>
  <c r="D344" i="5"/>
  <c r="D102" i="5"/>
  <c r="D19" i="5"/>
  <c r="D10" i="5"/>
  <c r="D39" i="5"/>
  <c r="C240" i="5"/>
  <c r="C227" i="5"/>
  <c r="D169" i="5"/>
  <c r="C145" i="5"/>
  <c r="D188" i="5"/>
  <c r="C310" i="5"/>
  <c r="D171" i="5"/>
  <c r="D275" i="5"/>
  <c r="C108" i="5"/>
  <c r="D204" i="5"/>
  <c r="D49" i="5"/>
  <c r="C101" i="5"/>
  <c r="D137" i="5"/>
  <c r="C321" i="5"/>
  <c r="C320" i="5"/>
  <c r="D251" i="5"/>
  <c r="C142" i="5"/>
  <c r="D279" i="5"/>
  <c r="C324" i="5"/>
  <c r="C22" i="5"/>
  <c r="D38" i="5"/>
  <c r="D108" i="5"/>
  <c r="D349" i="5"/>
  <c r="D152" i="5"/>
  <c r="D225" i="5"/>
  <c r="D12" i="5"/>
  <c r="D237" i="5"/>
  <c r="C156" i="5"/>
  <c r="C129" i="5"/>
  <c r="C178" i="5"/>
  <c r="D266" i="5"/>
  <c r="C196" i="5"/>
  <c r="C298" i="5"/>
  <c r="D35" i="5"/>
  <c r="D125" i="5"/>
  <c r="C343" i="5"/>
  <c r="C266" i="5"/>
  <c r="D53" i="5"/>
  <c r="D301" i="5"/>
  <c r="C319" i="5"/>
  <c r="D104" i="5"/>
  <c r="D262" i="5"/>
  <c r="C65" i="5"/>
  <c r="C236" i="5"/>
  <c r="D81" i="5"/>
  <c r="C276" i="5"/>
  <c r="D314" i="5"/>
  <c r="C87" i="5"/>
  <c r="C248" i="5"/>
  <c r="D54" i="5"/>
  <c r="D305" i="5"/>
  <c r="D151" i="5"/>
  <c r="D364" i="5"/>
  <c r="D321" i="5"/>
  <c r="D307" i="5"/>
  <c r="C322" i="5"/>
  <c r="D234" i="5"/>
  <c r="C232" i="5"/>
  <c r="C172" i="5"/>
  <c r="C285" i="5"/>
  <c r="D33" i="5"/>
  <c r="C265" i="5"/>
  <c r="C127" i="5"/>
  <c r="C243" i="5"/>
  <c r="D330" i="5"/>
  <c r="D244" i="5"/>
  <c r="D312" i="5"/>
  <c r="C63" i="5"/>
  <c r="D61" i="5"/>
  <c r="C163" i="5"/>
  <c r="D230" i="5"/>
  <c r="C318" i="5"/>
  <c r="C113" i="5"/>
  <c r="D71" i="5"/>
  <c r="D304" i="5"/>
  <c r="D320" i="5"/>
  <c r="D323" i="5"/>
  <c r="C134" i="5"/>
  <c r="C71" i="5"/>
  <c r="C102" i="5"/>
  <c r="D118" i="5"/>
  <c r="D109" i="5"/>
  <c r="D360" i="5"/>
  <c r="D331" i="5"/>
  <c r="D121" i="5"/>
  <c r="C221" i="5"/>
  <c r="D295" i="5"/>
  <c r="D339" i="5"/>
  <c r="D94" i="5"/>
  <c r="C214" i="5"/>
  <c r="B17" i="16"/>
  <c r="D14" i="17"/>
  <c r="C14" i="17"/>
  <c r="B30" i="17"/>
  <c r="D13" i="17"/>
  <c r="G15" i="16"/>
  <c r="G7" i="16"/>
  <c r="D38" i="16"/>
  <c r="F33" i="16"/>
  <c r="F34" i="16" s="1"/>
  <c r="D39" i="16" l="1"/>
  <c r="D40" i="16" s="1"/>
  <c r="D41" i="16" s="1"/>
  <c r="D42" i="16" s="1"/>
  <c r="D43" i="16" s="1"/>
  <c r="D44" i="16" s="1"/>
  <c r="D45" i="16" s="1"/>
  <c r="D46" i="16" s="1"/>
  <c r="D47" i="16" s="1"/>
  <c r="D48" i="16" s="1"/>
  <c r="D49" i="16" s="1"/>
  <c r="D50" i="16" s="1"/>
  <c r="D51" i="16" s="1"/>
  <c r="D52" i="16" s="1"/>
  <c r="D53" i="16" s="1"/>
  <c r="D54" i="16" s="1"/>
  <c r="D55" i="16" s="1"/>
  <c r="D56" i="16" s="1"/>
  <c r="D57" i="16" s="1"/>
  <c r="D58" i="16" s="1"/>
  <c r="D59" i="16" s="1"/>
  <c r="D60" i="16" s="1"/>
  <c r="D61" i="16" s="1"/>
  <c r="D62" i="16" s="1"/>
  <c r="D63" i="16" s="1"/>
  <c r="D64" i="16" s="1"/>
  <c r="D65" i="16" s="1"/>
  <c r="D66" i="16" s="1"/>
  <c r="B23" i="17"/>
  <c r="B7" i="17"/>
  <c r="B22" i="13"/>
  <c r="N5" i="5"/>
  <c r="E14" i="5"/>
  <c r="E318" i="5"/>
  <c r="E16" i="5"/>
  <c r="E38" i="16" s="1"/>
  <c r="E146" i="5"/>
  <c r="E296" i="5"/>
  <c r="E207" i="5"/>
  <c r="E150" i="5"/>
  <c r="E141" i="5"/>
  <c r="E238" i="5"/>
  <c r="E261" i="5"/>
  <c r="E45" i="5"/>
  <c r="E256" i="5"/>
  <c r="E61" i="5"/>
  <c r="E280" i="5"/>
  <c r="E202" i="5"/>
  <c r="E262" i="5"/>
  <c r="E5" i="5"/>
  <c r="E41" i="5"/>
  <c r="E200" i="5"/>
  <c r="E135" i="5"/>
  <c r="E68" i="5"/>
  <c r="E192" i="5"/>
  <c r="E79" i="5"/>
  <c r="E10" i="5"/>
  <c r="E33" i="5"/>
  <c r="E283" i="5"/>
  <c r="E7" i="5"/>
  <c r="E101" i="5"/>
  <c r="E213" i="5"/>
  <c r="E361" i="5"/>
  <c r="E325" i="5"/>
  <c r="E178" i="5"/>
  <c r="E100" i="5"/>
  <c r="E253" i="5"/>
  <c r="E221" i="5"/>
  <c r="E49" i="5"/>
  <c r="E40" i="5"/>
  <c r="E24" i="5"/>
  <c r="E314" i="5"/>
  <c r="E167" i="5"/>
  <c r="E319" i="5"/>
  <c r="E138" i="5"/>
  <c r="E139" i="5"/>
  <c r="E335" i="5"/>
  <c r="E277" i="5"/>
  <c r="E257" i="5"/>
  <c r="E130" i="5"/>
  <c r="E354" i="5"/>
  <c r="E159" i="5"/>
  <c r="E78" i="5"/>
  <c r="E137" i="5"/>
  <c r="E114" i="5"/>
  <c r="E90" i="5"/>
  <c r="E223" i="5"/>
  <c r="E162" i="5"/>
  <c r="E232" i="5"/>
  <c r="E103" i="5"/>
  <c r="E320" i="5"/>
  <c r="E291" i="5"/>
  <c r="E299" i="5"/>
  <c r="E196" i="5"/>
  <c r="E268" i="5"/>
  <c r="E59" i="16" s="1"/>
  <c r="E316" i="5"/>
  <c r="E88" i="5"/>
  <c r="E341" i="5"/>
  <c r="E346" i="5"/>
  <c r="E230" i="5"/>
  <c r="E327" i="5"/>
  <c r="E276" i="5"/>
  <c r="E60" i="5"/>
  <c r="E82" i="5"/>
  <c r="E134" i="5"/>
  <c r="E285" i="5"/>
  <c r="E294" i="5"/>
  <c r="E42" i="5"/>
  <c r="E91" i="5"/>
  <c r="E32" i="5"/>
  <c r="E116" i="5"/>
  <c r="E284" i="5"/>
  <c r="E334" i="5"/>
  <c r="E193" i="5"/>
  <c r="E289" i="5"/>
  <c r="E297" i="5"/>
  <c r="E148" i="5"/>
  <c r="E330" i="5"/>
  <c r="E251" i="5"/>
  <c r="E209" i="5"/>
  <c r="E110" i="5"/>
  <c r="E12" i="5"/>
  <c r="E27" i="5"/>
  <c r="E30" i="5"/>
  <c r="E23" i="5"/>
  <c r="E348" i="5"/>
  <c r="E199" i="5"/>
  <c r="E54" i="5"/>
  <c r="E153" i="5"/>
  <c r="E315" i="5"/>
  <c r="E349" i="5"/>
  <c r="E18" i="5"/>
  <c r="E309" i="5"/>
  <c r="E194" i="5"/>
  <c r="E328" i="5"/>
  <c r="E240" i="5"/>
  <c r="E87" i="5"/>
  <c r="E269" i="5"/>
  <c r="E198" i="5"/>
  <c r="E28" i="5"/>
  <c r="E39" i="16" s="1"/>
  <c r="E128" i="5"/>
  <c r="E164" i="5"/>
  <c r="E208" i="5"/>
  <c r="E54" i="16" s="1"/>
  <c r="E95" i="5"/>
  <c r="E188" i="5"/>
  <c r="E279" i="5"/>
  <c r="E29" i="5"/>
  <c r="E63" i="5"/>
  <c r="E119" i="5"/>
  <c r="E53" i="5"/>
  <c r="E242" i="5"/>
  <c r="E92" i="5"/>
  <c r="E278" i="5"/>
  <c r="E197" i="5"/>
  <c r="E212" i="5"/>
  <c r="E195" i="5"/>
  <c r="E51" i="5"/>
  <c r="E117" i="5"/>
  <c r="E189" i="5"/>
  <c r="E140" i="5"/>
  <c r="E216" i="5"/>
  <c r="E13" i="5"/>
  <c r="E222" i="5"/>
  <c r="E172" i="5"/>
  <c r="E233" i="5"/>
  <c r="E324" i="5"/>
  <c r="E205" i="5"/>
  <c r="E19" i="5"/>
  <c r="E142" i="5"/>
  <c r="E260" i="5"/>
  <c r="E235" i="5"/>
  <c r="E201" i="5"/>
  <c r="E241" i="5"/>
  <c r="E364" i="5"/>
  <c r="E109" i="5"/>
  <c r="E183" i="5"/>
  <c r="E234" i="5"/>
  <c r="E102" i="5"/>
  <c r="E311" i="5"/>
  <c r="E274" i="5"/>
  <c r="E326" i="5"/>
  <c r="E275" i="5"/>
  <c r="E158" i="5"/>
  <c r="E248" i="5"/>
  <c r="E342" i="5"/>
  <c r="E43" i="5"/>
  <c r="E157" i="5"/>
  <c r="E331" i="5"/>
  <c r="E58" i="5"/>
  <c r="E74" i="5"/>
  <c r="E191" i="5"/>
  <c r="E250" i="5"/>
  <c r="E226" i="5"/>
  <c r="E352" i="5"/>
  <c r="E115" i="5"/>
  <c r="E344" i="5"/>
  <c r="E228" i="5"/>
  <c r="E356" i="5"/>
  <c r="E175" i="5"/>
  <c r="E340" i="5"/>
  <c r="E163" i="5"/>
  <c r="E227" i="5"/>
  <c r="E143" i="5"/>
  <c r="E265" i="5"/>
  <c r="E215" i="5"/>
  <c r="E290" i="5"/>
  <c r="E214" i="5"/>
  <c r="E124" i="5"/>
  <c r="E145" i="5"/>
  <c r="E252" i="5"/>
  <c r="E174" i="5"/>
  <c r="E292" i="5"/>
  <c r="E190" i="5"/>
  <c r="E81" i="5"/>
  <c r="E170" i="5"/>
  <c r="E180" i="5"/>
  <c r="E287" i="5"/>
  <c r="E244" i="5"/>
  <c r="E57" i="16" s="1"/>
  <c r="E17" i="5"/>
  <c r="E288" i="5"/>
  <c r="E34" i="5"/>
  <c r="E302" i="5"/>
  <c r="E73" i="5"/>
  <c r="E306" i="5"/>
  <c r="E155" i="5"/>
  <c r="E347" i="5"/>
  <c r="E357" i="5"/>
  <c r="E176" i="5"/>
  <c r="E169" i="5"/>
  <c r="E263" i="5"/>
  <c r="E11" i="5"/>
  <c r="E259" i="5"/>
  <c r="E329" i="5"/>
  <c r="E149" i="5"/>
  <c r="E179" i="5"/>
  <c r="E246" i="5"/>
  <c r="E72" i="5"/>
  <c r="E266" i="5"/>
  <c r="E185" i="5"/>
  <c r="E229" i="5"/>
  <c r="E186" i="5"/>
  <c r="E333" i="5"/>
  <c r="E317" i="5"/>
  <c r="E57" i="5"/>
  <c r="E160" i="5"/>
  <c r="E50" i="16" s="1"/>
  <c r="E120" i="5"/>
  <c r="E267" i="5"/>
  <c r="E99" i="5"/>
  <c r="E50" i="5"/>
  <c r="E225" i="5"/>
  <c r="E338" i="5"/>
  <c r="E237" i="5"/>
  <c r="E182" i="5"/>
  <c r="E350" i="5"/>
  <c r="E308" i="5"/>
  <c r="E94" i="5"/>
  <c r="E231" i="5"/>
  <c r="E6" i="5"/>
  <c r="E9" i="5"/>
  <c r="E80" i="5"/>
  <c r="E336" i="5"/>
  <c r="E321" i="5"/>
  <c r="E345" i="5"/>
  <c r="E96" i="5"/>
  <c r="E107" i="5"/>
  <c r="E125" i="5"/>
  <c r="E323" i="5"/>
  <c r="E8" i="5"/>
  <c r="E281" i="5"/>
  <c r="E273" i="5"/>
  <c r="E151" i="5"/>
  <c r="E272" i="5"/>
  <c r="E15" i="5"/>
  <c r="E22" i="5"/>
  <c r="E35" i="5"/>
  <c r="E113" i="5"/>
  <c r="E305" i="5"/>
  <c r="E85" i="5"/>
  <c r="E173" i="5"/>
  <c r="E83" i="5"/>
  <c r="E154" i="5"/>
  <c r="E47" i="5"/>
  <c r="E104" i="5"/>
  <c r="E351" i="5"/>
  <c r="E204" i="5"/>
  <c r="E245" i="5"/>
  <c r="E332" i="5"/>
  <c r="E165" i="5"/>
  <c r="E363" i="5"/>
  <c r="E122" i="5"/>
  <c r="E59" i="5"/>
  <c r="E301" i="5"/>
  <c r="E166" i="5"/>
  <c r="E98" i="5"/>
  <c r="E249" i="5"/>
  <c r="E236" i="5"/>
  <c r="E218" i="5"/>
  <c r="E48" i="5"/>
  <c r="E127" i="5"/>
  <c r="E112" i="5"/>
  <c r="E39" i="5"/>
  <c r="E254" i="5"/>
  <c r="E123" i="5"/>
  <c r="E168" i="5"/>
  <c r="E210" i="5"/>
  <c r="E270" i="5"/>
  <c r="E258" i="5"/>
  <c r="E56" i="5"/>
  <c r="E93" i="5"/>
  <c r="E211" i="5"/>
  <c r="E295" i="5"/>
  <c r="E65" i="5"/>
  <c r="E126" i="5"/>
  <c r="E20" i="5"/>
  <c r="E206" i="5"/>
  <c r="E255" i="5"/>
  <c r="E71" i="5"/>
  <c r="E131" i="5"/>
  <c r="E286" i="5"/>
  <c r="E271" i="5"/>
  <c r="E313" i="5"/>
  <c r="E106" i="5"/>
  <c r="E203" i="5"/>
  <c r="E129" i="5"/>
  <c r="E67" i="5"/>
  <c r="E31" i="5"/>
  <c r="E133" i="5"/>
  <c r="E86" i="5"/>
  <c r="E84" i="5"/>
  <c r="E219" i="5"/>
  <c r="E282" i="5"/>
  <c r="E171" i="5"/>
  <c r="E220" i="5"/>
  <c r="E224" i="5"/>
  <c r="E362" i="5"/>
  <c r="E152" i="5"/>
  <c r="E343" i="5"/>
  <c r="E312" i="5"/>
  <c r="E353" i="5"/>
  <c r="E37" i="5"/>
  <c r="E360" i="5"/>
  <c r="E46" i="5"/>
  <c r="E243" i="5"/>
  <c r="E298" i="5"/>
  <c r="E304" i="5"/>
  <c r="E76" i="5"/>
  <c r="E36" i="5"/>
  <c r="E62" i="5"/>
  <c r="E97" i="5"/>
  <c r="E26" i="5"/>
  <c r="E264" i="5"/>
  <c r="E121" i="5"/>
  <c r="E307" i="5"/>
  <c r="C366" i="5"/>
  <c r="E38" i="5"/>
  <c r="E300" i="5"/>
  <c r="E147" i="5"/>
  <c r="E25" i="5"/>
  <c r="E322" i="5"/>
  <c r="E303" i="5"/>
  <c r="E118" i="5"/>
  <c r="E181" i="5"/>
  <c r="E184" i="5"/>
  <c r="E66" i="5"/>
  <c r="E77" i="5"/>
  <c r="E187" i="5"/>
  <c r="E136" i="5"/>
  <c r="E55" i="5"/>
  <c r="E64" i="5"/>
  <c r="E108" i="5"/>
  <c r="E69" i="5"/>
  <c r="E105" i="5"/>
  <c r="E75" i="5"/>
  <c r="E358" i="5"/>
  <c r="E217" i="5"/>
  <c r="E239" i="5"/>
  <c r="E359" i="5"/>
  <c r="E89" i="5"/>
  <c r="E21" i="5"/>
  <c r="E355" i="5"/>
  <c r="E44" i="5"/>
  <c r="E132" i="5"/>
  <c r="E111" i="5"/>
  <c r="E161" i="5"/>
  <c r="E177" i="5"/>
  <c r="E310" i="5"/>
  <c r="E156" i="5"/>
  <c r="E52" i="5"/>
  <c r="E144" i="5"/>
  <c r="E337" i="5"/>
  <c r="E247" i="5"/>
  <c r="E70" i="5"/>
  <c r="E293" i="5"/>
  <c r="E339" i="5"/>
  <c r="B39" i="13"/>
  <c r="B46" i="13" s="1"/>
  <c r="D30" i="17"/>
  <c r="D31" i="17"/>
  <c r="F20" i="5"/>
  <c r="G20" i="5" s="1"/>
  <c r="H20" i="5" s="1"/>
  <c r="F42" i="5"/>
  <c r="G42" i="5" s="1"/>
  <c r="H42" i="5" s="1"/>
  <c r="F28" i="5"/>
  <c r="G28" i="5" s="1"/>
  <c r="H28" i="5" s="1"/>
  <c r="F330" i="5"/>
  <c r="G330" i="5" s="1"/>
  <c r="H330" i="5" s="1"/>
  <c r="F14" i="5"/>
  <c r="G14" i="5" s="1"/>
  <c r="H14" i="5" s="1"/>
  <c r="F75" i="5"/>
  <c r="G75" i="5" s="1"/>
  <c r="H75" i="5" s="1"/>
  <c r="F33" i="5"/>
  <c r="G33" i="5" s="1"/>
  <c r="H33" i="5" s="1"/>
  <c r="F48" i="5"/>
  <c r="G48" i="5" s="1"/>
  <c r="H48" i="5" s="1"/>
  <c r="F112" i="5"/>
  <c r="G112" i="5" s="1"/>
  <c r="H112" i="5" s="1"/>
  <c r="F44" i="5"/>
  <c r="G44" i="5" s="1"/>
  <c r="H44" i="5" s="1"/>
  <c r="F210" i="5"/>
  <c r="G210" i="5" s="1"/>
  <c r="H210" i="5" s="1"/>
  <c r="F65" i="5"/>
  <c r="G65" i="5" s="1"/>
  <c r="H65" i="5" s="1"/>
  <c r="F22" i="5"/>
  <c r="G22" i="5" s="1"/>
  <c r="H22" i="5" s="1"/>
  <c r="F30" i="5"/>
  <c r="G30" i="5" s="1"/>
  <c r="H30" i="5" s="1"/>
  <c r="F5" i="5"/>
  <c r="G5" i="5" s="1"/>
  <c r="H5" i="5" s="1"/>
  <c r="F10" i="5"/>
  <c r="G10" i="5" s="1"/>
  <c r="H10" i="5" s="1"/>
  <c r="F69" i="5"/>
  <c r="G69" i="5" s="1"/>
  <c r="H69" i="5" s="1"/>
  <c r="F141" i="5"/>
  <c r="G141" i="5" s="1"/>
  <c r="H141" i="5" s="1"/>
  <c r="F361" i="5"/>
  <c r="G361" i="5" s="1"/>
  <c r="H361" i="5" s="1"/>
  <c r="F178" i="5"/>
  <c r="G178" i="5" s="1"/>
  <c r="H178" i="5" s="1"/>
  <c r="F98" i="5"/>
  <c r="G98" i="5" s="1"/>
  <c r="H98" i="5" s="1"/>
  <c r="F103" i="5"/>
  <c r="G103" i="5" s="1"/>
  <c r="H103" i="5" s="1"/>
  <c r="F177" i="5"/>
  <c r="G177" i="5" s="1"/>
  <c r="H177" i="5" s="1"/>
  <c r="F121" i="5"/>
  <c r="G121" i="5" s="1"/>
  <c r="H121" i="5" s="1"/>
  <c r="F331" i="5"/>
  <c r="G331" i="5" s="1"/>
  <c r="H331" i="5" s="1"/>
  <c r="F224" i="5"/>
  <c r="G224" i="5" s="1"/>
  <c r="H224" i="5" s="1"/>
  <c r="F127" i="5"/>
  <c r="G127" i="5" s="1"/>
  <c r="H127" i="5" s="1"/>
  <c r="F8" i="5"/>
  <c r="G8" i="5" s="1"/>
  <c r="H8" i="5" s="1"/>
  <c r="F258" i="5"/>
  <c r="G258" i="5" s="1"/>
  <c r="H258" i="5" s="1"/>
  <c r="F38" i="5"/>
  <c r="G38" i="5" s="1"/>
  <c r="H38" i="5" s="1"/>
  <c r="F51" i="5"/>
  <c r="G51" i="5" s="1"/>
  <c r="H51" i="5" s="1"/>
  <c r="F240" i="5"/>
  <c r="G240" i="5" s="1"/>
  <c r="H240" i="5" s="1"/>
  <c r="F189" i="5"/>
  <c r="G189" i="5" s="1"/>
  <c r="H189" i="5" s="1"/>
  <c r="F31" i="5"/>
  <c r="G31" i="5" s="1"/>
  <c r="H31" i="5" s="1"/>
  <c r="F158" i="5"/>
  <c r="G158" i="5" s="1"/>
  <c r="H158" i="5" s="1"/>
  <c r="F216" i="5"/>
  <c r="G216" i="5" s="1"/>
  <c r="H216" i="5" s="1"/>
  <c r="F45" i="5"/>
  <c r="G45" i="5" s="1"/>
  <c r="H45" i="5" s="1"/>
  <c r="F273" i="5"/>
  <c r="G273" i="5" s="1"/>
  <c r="H273" i="5" s="1"/>
  <c r="F119" i="5"/>
  <c r="G119" i="5" s="1"/>
  <c r="H119" i="5" s="1"/>
  <c r="F219" i="5"/>
  <c r="G219" i="5" s="1"/>
  <c r="H219" i="5" s="1"/>
  <c r="F285" i="5"/>
  <c r="G285" i="5" s="1"/>
  <c r="H285" i="5" s="1"/>
  <c r="F131" i="5"/>
  <c r="G131" i="5" s="1"/>
  <c r="H131" i="5" s="1"/>
  <c r="F260" i="5"/>
  <c r="G260" i="5" s="1"/>
  <c r="H260" i="5" s="1"/>
  <c r="F325" i="5"/>
  <c r="G325" i="5" s="1"/>
  <c r="H325" i="5" s="1"/>
  <c r="F21" i="5"/>
  <c r="G21" i="5" s="1"/>
  <c r="H21" i="5" s="1"/>
  <c r="F128" i="5"/>
  <c r="G128" i="5" s="1"/>
  <c r="H128" i="5" s="1"/>
  <c r="F150" i="5"/>
  <c r="G150" i="5" s="1"/>
  <c r="H150" i="5" s="1"/>
  <c r="F307" i="5"/>
  <c r="G307" i="5" s="1"/>
  <c r="H307" i="5" s="1"/>
  <c r="F348" i="5"/>
  <c r="G348" i="5" s="1"/>
  <c r="H348" i="5" s="1"/>
  <c r="F275" i="5"/>
  <c r="G275" i="5" s="1"/>
  <c r="H275" i="5" s="1"/>
  <c r="F234" i="5"/>
  <c r="G234" i="5" s="1"/>
  <c r="H234" i="5" s="1"/>
  <c r="F333" i="5"/>
  <c r="G333" i="5" s="1"/>
  <c r="H333" i="5" s="1"/>
  <c r="F350" i="5"/>
  <c r="G350" i="5" s="1"/>
  <c r="H350" i="5" s="1"/>
  <c r="F123" i="5"/>
  <c r="G123" i="5" s="1"/>
  <c r="H123" i="5" s="1"/>
  <c r="F227" i="5"/>
  <c r="G227" i="5" s="1"/>
  <c r="H227" i="5" s="1"/>
  <c r="F317" i="5"/>
  <c r="G317" i="5" s="1"/>
  <c r="H317" i="5" s="1"/>
  <c r="F299" i="5"/>
  <c r="G299" i="5" s="1"/>
  <c r="H299" i="5" s="1"/>
  <c r="F203" i="5"/>
  <c r="G203" i="5" s="1"/>
  <c r="H203" i="5" s="1"/>
  <c r="F244" i="5"/>
  <c r="G244" i="5" s="1"/>
  <c r="H244" i="5" s="1"/>
  <c r="F293" i="5"/>
  <c r="G293" i="5" s="1"/>
  <c r="H293" i="5" s="1"/>
  <c r="F323" i="5"/>
  <c r="G323" i="5" s="1"/>
  <c r="H323" i="5" s="1"/>
  <c r="F101" i="5"/>
  <c r="G101" i="5" s="1"/>
  <c r="H101" i="5" s="1"/>
  <c r="F179" i="5"/>
  <c r="G179" i="5" s="1"/>
  <c r="H179" i="5" s="1"/>
  <c r="F25" i="5"/>
  <c r="G25" i="5" s="1"/>
  <c r="H25" i="5" s="1"/>
  <c r="F76" i="5"/>
  <c r="G76" i="5" s="1"/>
  <c r="H76" i="5" s="1"/>
  <c r="F212" i="5"/>
  <c r="G212" i="5" s="1"/>
  <c r="H212" i="5" s="1"/>
  <c r="F62" i="5"/>
  <c r="G62" i="5" s="1"/>
  <c r="H62" i="5" s="1"/>
  <c r="F304" i="5"/>
  <c r="G304" i="5" s="1"/>
  <c r="H304" i="5" s="1"/>
  <c r="F74" i="5"/>
  <c r="G74" i="5" s="1"/>
  <c r="H74" i="5" s="1"/>
  <c r="F12" i="5"/>
  <c r="G12" i="5" s="1"/>
  <c r="H12" i="5" s="1"/>
  <c r="F268" i="5"/>
  <c r="G268" i="5" s="1"/>
  <c r="H268" i="5" s="1"/>
  <c r="F88" i="5"/>
  <c r="G88" i="5" s="1"/>
  <c r="H88" i="5" s="1"/>
  <c r="F335" i="5"/>
  <c r="G335" i="5" s="1"/>
  <c r="H335" i="5" s="1"/>
  <c r="F230" i="5"/>
  <c r="G230" i="5" s="1"/>
  <c r="H230" i="5" s="1"/>
  <c r="F278" i="5"/>
  <c r="G278" i="5" s="1"/>
  <c r="H278" i="5" s="1"/>
  <c r="F79" i="5"/>
  <c r="G79" i="5" s="1"/>
  <c r="H79" i="5" s="1"/>
  <c r="F358" i="5"/>
  <c r="G358" i="5" s="1"/>
  <c r="H358" i="5" s="1"/>
  <c r="F55" i="5"/>
  <c r="G55" i="5" s="1"/>
  <c r="H55" i="5" s="1"/>
  <c r="F66" i="5"/>
  <c r="G66" i="5" s="1"/>
  <c r="H66" i="5" s="1"/>
  <c r="F157" i="5"/>
  <c r="G157" i="5" s="1"/>
  <c r="H157" i="5" s="1"/>
  <c r="F107" i="5"/>
  <c r="G107" i="5" s="1"/>
  <c r="H107" i="5" s="1"/>
  <c r="F7" i="5"/>
  <c r="G7" i="5" s="1"/>
  <c r="H7" i="5" s="1"/>
  <c r="F18" i="5"/>
  <c r="G18" i="5" s="1"/>
  <c r="H18" i="5" s="1"/>
  <c r="F169" i="5"/>
  <c r="G169" i="5" s="1"/>
  <c r="H169" i="5" s="1"/>
  <c r="F172" i="5"/>
  <c r="G172" i="5" s="1"/>
  <c r="H172" i="5" s="1"/>
  <c r="F343" i="5"/>
  <c r="G343" i="5" s="1"/>
  <c r="H343" i="5" s="1"/>
  <c r="F295" i="5"/>
  <c r="G295" i="5" s="1"/>
  <c r="H295" i="5" s="1"/>
  <c r="F191" i="5"/>
  <c r="G191" i="5" s="1"/>
  <c r="H191" i="5" s="1"/>
  <c r="F327" i="5"/>
  <c r="G327" i="5" s="1"/>
  <c r="H327" i="5" s="1"/>
  <c r="F213" i="5"/>
  <c r="G213" i="5" s="1"/>
  <c r="H213" i="5" s="1"/>
  <c r="F136" i="5"/>
  <c r="G136" i="5" s="1"/>
  <c r="H136" i="5" s="1"/>
  <c r="F71" i="5"/>
  <c r="G71" i="5" s="1"/>
  <c r="H71" i="5" s="1"/>
  <c r="F122" i="5"/>
  <c r="G122" i="5" s="1"/>
  <c r="H122" i="5" s="1"/>
  <c r="F154" i="5"/>
  <c r="G154" i="5" s="1"/>
  <c r="H154" i="5" s="1"/>
  <c r="F110" i="5"/>
  <c r="G110" i="5" s="1"/>
  <c r="H110" i="5" s="1"/>
  <c r="F139" i="5"/>
  <c r="G139" i="5" s="1"/>
  <c r="H139" i="5" s="1"/>
  <c r="F272" i="5"/>
  <c r="G272" i="5" s="1"/>
  <c r="H272" i="5" s="1"/>
  <c r="F19" i="5"/>
  <c r="G19" i="5" s="1"/>
  <c r="H19" i="5" s="1"/>
  <c r="F151" i="5"/>
  <c r="G151" i="5" s="1"/>
  <c r="H151" i="5" s="1"/>
  <c r="F256" i="5"/>
  <c r="G256" i="5" s="1"/>
  <c r="H256" i="5" s="1"/>
  <c r="F332" i="5"/>
  <c r="G332" i="5" s="1"/>
  <c r="H332" i="5" s="1"/>
  <c r="F321" i="5"/>
  <c r="G321" i="5" s="1"/>
  <c r="H321" i="5" s="1"/>
  <c r="F276" i="5"/>
  <c r="G276" i="5" s="1"/>
  <c r="H276" i="5" s="1"/>
  <c r="F294" i="5"/>
  <c r="G294" i="5" s="1"/>
  <c r="H294" i="5" s="1"/>
  <c r="F250" i="5"/>
  <c r="G250" i="5" s="1"/>
  <c r="H250" i="5" s="1"/>
  <c r="F252" i="5"/>
  <c r="G252" i="5" s="1"/>
  <c r="H252" i="5" s="1"/>
  <c r="F235" i="5"/>
  <c r="G235" i="5" s="1"/>
  <c r="H235" i="5" s="1"/>
  <c r="F175" i="5"/>
  <c r="G175" i="5" s="1"/>
  <c r="H175" i="5" s="1"/>
  <c r="F245" i="5"/>
  <c r="G245" i="5" s="1"/>
  <c r="H245" i="5" s="1"/>
  <c r="F344" i="5"/>
  <c r="G344" i="5" s="1"/>
  <c r="H344" i="5" s="1"/>
  <c r="F90" i="5"/>
  <c r="G90" i="5" s="1"/>
  <c r="H90" i="5" s="1"/>
  <c r="F261" i="5"/>
  <c r="G261" i="5" s="1"/>
  <c r="H261" i="5" s="1"/>
  <c r="F114" i="5"/>
  <c r="G114" i="5" s="1"/>
  <c r="H114" i="5" s="1"/>
  <c r="F204" i="5"/>
  <c r="G204" i="5" s="1"/>
  <c r="H204" i="5" s="1"/>
  <c r="F27" i="5"/>
  <c r="G27" i="5" s="1"/>
  <c r="H27" i="5" s="1"/>
  <c r="F120" i="5"/>
  <c r="G120" i="5" s="1"/>
  <c r="H120" i="5" s="1"/>
  <c r="F117" i="5"/>
  <c r="G117" i="5" s="1"/>
  <c r="H117" i="5" s="1"/>
  <c r="F218" i="5"/>
  <c r="G218" i="5" s="1"/>
  <c r="H218" i="5" s="1"/>
  <c r="F346" i="5"/>
  <c r="G346" i="5" s="1"/>
  <c r="H346" i="5" s="1"/>
  <c r="F64" i="5"/>
  <c r="G64" i="5" s="1"/>
  <c r="H64" i="5" s="1"/>
  <c r="F315" i="5"/>
  <c r="G315" i="5" s="1"/>
  <c r="H315" i="5" s="1"/>
  <c r="F326" i="5"/>
  <c r="G326" i="5" s="1"/>
  <c r="H326" i="5" s="1"/>
  <c r="F199" i="5"/>
  <c r="G199" i="5" s="1"/>
  <c r="H199" i="5" s="1"/>
  <c r="F246" i="5"/>
  <c r="G246" i="5" s="1"/>
  <c r="H246" i="5" s="1"/>
  <c r="F155" i="5"/>
  <c r="G155" i="5" s="1"/>
  <c r="H155" i="5" s="1"/>
  <c r="F238" i="5"/>
  <c r="G238" i="5" s="1"/>
  <c r="H238" i="5" s="1"/>
  <c r="F134" i="5"/>
  <c r="G134" i="5" s="1"/>
  <c r="H134" i="5" s="1"/>
  <c r="F207" i="5"/>
  <c r="G207" i="5" s="1"/>
  <c r="H207" i="5" s="1"/>
  <c r="F239" i="5"/>
  <c r="G239" i="5" s="1"/>
  <c r="H239" i="5" s="1"/>
  <c r="F220" i="5"/>
  <c r="G220" i="5" s="1"/>
  <c r="H220" i="5" s="1"/>
  <c r="F253" i="5"/>
  <c r="G253" i="5" s="1"/>
  <c r="H253" i="5" s="1"/>
  <c r="F37" i="5"/>
  <c r="G37" i="5" s="1"/>
  <c r="H37" i="5" s="1"/>
  <c r="F303" i="5"/>
  <c r="G303" i="5" s="1"/>
  <c r="H303" i="5" s="1"/>
  <c r="F168" i="5"/>
  <c r="G168" i="5" s="1"/>
  <c r="H168" i="5" s="1"/>
  <c r="F24" i="5"/>
  <c r="G24" i="5" s="1"/>
  <c r="H24" i="5" s="1"/>
  <c r="F352" i="5"/>
  <c r="G352" i="5" s="1"/>
  <c r="H352" i="5" s="1"/>
  <c r="F279" i="5"/>
  <c r="G279" i="5" s="1"/>
  <c r="H279" i="5" s="1"/>
  <c r="F355" i="5"/>
  <c r="G355" i="5" s="1"/>
  <c r="H355" i="5" s="1"/>
  <c r="F174" i="5"/>
  <c r="G174" i="5" s="1"/>
  <c r="H174" i="5" s="1"/>
  <c r="F148" i="5"/>
  <c r="G148" i="5" s="1"/>
  <c r="H148" i="5" s="1"/>
  <c r="F184" i="5"/>
  <c r="G184" i="5" s="1"/>
  <c r="H184" i="5" s="1"/>
  <c r="F231" i="5"/>
  <c r="G231" i="5" s="1"/>
  <c r="H231" i="5" s="1"/>
  <c r="F140" i="5"/>
  <c r="G140" i="5" s="1"/>
  <c r="H140" i="5" s="1"/>
  <c r="F302" i="5"/>
  <c r="G302" i="5" s="1"/>
  <c r="H302" i="5" s="1"/>
  <c r="F26" i="5"/>
  <c r="G26" i="5" s="1"/>
  <c r="H26" i="5" s="1"/>
  <c r="F233" i="5"/>
  <c r="G233" i="5" s="1"/>
  <c r="H233" i="5" s="1"/>
  <c r="F126" i="5"/>
  <c r="G126" i="5" s="1"/>
  <c r="H126" i="5" s="1"/>
  <c r="F192" i="5"/>
  <c r="G192" i="5" s="1"/>
  <c r="H192" i="5" s="1"/>
  <c r="F193" i="5"/>
  <c r="G193" i="5" s="1"/>
  <c r="H193" i="5" s="1"/>
  <c r="F269" i="5"/>
  <c r="G269" i="5" s="1"/>
  <c r="H269" i="5" s="1"/>
  <c r="F57" i="5"/>
  <c r="G57" i="5" s="1"/>
  <c r="H57" i="5" s="1"/>
  <c r="F52" i="5"/>
  <c r="G52" i="5" s="1"/>
  <c r="H52" i="5" s="1"/>
  <c r="F43" i="5"/>
  <c r="G43" i="5" s="1"/>
  <c r="H43" i="5" s="1"/>
  <c r="F209" i="5"/>
  <c r="G209" i="5" s="1"/>
  <c r="H209" i="5" s="1"/>
  <c r="F61" i="5"/>
  <c r="G61" i="5" s="1"/>
  <c r="H61" i="5" s="1"/>
  <c r="F104" i="5"/>
  <c r="G104" i="5" s="1"/>
  <c r="H104" i="5" s="1"/>
  <c r="F360" i="5"/>
  <c r="G360" i="5" s="1"/>
  <c r="H360" i="5" s="1"/>
  <c r="F188" i="5"/>
  <c r="G188" i="5" s="1"/>
  <c r="H188" i="5" s="1"/>
  <c r="F95" i="5"/>
  <c r="G95" i="5" s="1"/>
  <c r="H95" i="5" s="1"/>
  <c r="F17" i="5"/>
  <c r="G17" i="5" s="1"/>
  <c r="H17" i="5" s="1"/>
  <c r="F15" i="5"/>
  <c r="G15" i="5" s="1"/>
  <c r="H15" i="5" s="1"/>
  <c r="F271" i="5"/>
  <c r="G271" i="5" s="1"/>
  <c r="H271" i="5" s="1"/>
  <c r="F34" i="5"/>
  <c r="G34" i="5" s="1"/>
  <c r="H34" i="5" s="1"/>
  <c r="F137" i="5"/>
  <c r="G137" i="5" s="1"/>
  <c r="H137" i="5" s="1"/>
  <c r="F49" i="5"/>
  <c r="G49" i="5" s="1"/>
  <c r="H49" i="5" s="1"/>
  <c r="F211" i="5"/>
  <c r="G211" i="5" s="1"/>
  <c r="H211" i="5" s="1"/>
  <c r="F165" i="5"/>
  <c r="G165" i="5" s="1"/>
  <c r="H165" i="5" s="1"/>
  <c r="F29" i="5"/>
  <c r="G29" i="5" s="1"/>
  <c r="H29" i="5" s="1"/>
  <c r="F274" i="5"/>
  <c r="G274" i="5" s="1"/>
  <c r="H274" i="5" s="1"/>
  <c r="F264" i="5"/>
  <c r="G264" i="5" s="1"/>
  <c r="H264" i="5" s="1"/>
  <c r="F222" i="5"/>
  <c r="G222" i="5" s="1"/>
  <c r="H222" i="5" s="1"/>
  <c r="F87" i="5"/>
  <c r="G87" i="5" s="1"/>
  <c r="H87" i="5" s="1"/>
  <c r="F40" i="5"/>
  <c r="G40" i="5" s="1"/>
  <c r="H40" i="5" s="1"/>
  <c r="F23" i="5"/>
  <c r="G23" i="5" s="1"/>
  <c r="H23" i="5" s="1"/>
  <c r="F297" i="5"/>
  <c r="G297" i="5" s="1"/>
  <c r="H297" i="5" s="1"/>
  <c r="F143" i="5"/>
  <c r="G143" i="5" s="1"/>
  <c r="H143" i="5" s="1"/>
  <c r="F339" i="5"/>
  <c r="G339" i="5" s="1"/>
  <c r="H339" i="5" s="1"/>
  <c r="F225" i="5"/>
  <c r="G225" i="5" s="1"/>
  <c r="H225" i="5" s="1"/>
  <c r="F129" i="5"/>
  <c r="G129" i="5" s="1"/>
  <c r="H129" i="5" s="1"/>
  <c r="F106" i="5"/>
  <c r="G106" i="5" s="1"/>
  <c r="H106" i="5" s="1"/>
  <c r="F167" i="5"/>
  <c r="G167" i="5" s="1"/>
  <c r="H167" i="5" s="1"/>
  <c r="F118" i="5"/>
  <c r="G118" i="5" s="1"/>
  <c r="H118" i="5" s="1"/>
  <c r="F161" i="5"/>
  <c r="G161" i="5" s="1"/>
  <c r="H161" i="5" s="1"/>
  <c r="F312" i="5"/>
  <c r="G312" i="5" s="1"/>
  <c r="H312" i="5" s="1"/>
  <c r="F54" i="5"/>
  <c r="G54" i="5" s="1"/>
  <c r="H54" i="5" s="1"/>
  <c r="F94" i="5"/>
  <c r="G94" i="5" s="1"/>
  <c r="H94" i="5" s="1"/>
  <c r="F146" i="5"/>
  <c r="G146" i="5" s="1"/>
  <c r="H146" i="5" s="1"/>
  <c r="F89" i="5"/>
  <c r="G89" i="5" s="1"/>
  <c r="H89" i="5" s="1"/>
  <c r="F314" i="5"/>
  <c r="G314" i="5" s="1"/>
  <c r="H314" i="5" s="1"/>
  <c r="F277" i="5"/>
  <c r="G277" i="5" s="1"/>
  <c r="H277" i="5" s="1"/>
  <c r="F309" i="5"/>
  <c r="G309" i="5" s="1"/>
  <c r="H309" i="5" s="1"/>
  <c r="F144" i="5"/>
  <c r="G144" i="5" s="1"/>
  <c r="H144" i="5" s="1"/>
  <c r="F41" i="5"/>
  <c r="G41" i="5" s="1"/>
  <c r="H41" i="5" s="1"/>
  <c r="F185" i="5"/>
  <c r="G185" i="5" s="1"/>
  <c r="H185" i="5" s="1"/>
  <c r="F183" i="5"/>
  <c r="G183" i="5" s="1"/>
  <c r="H183" i="5" s="1"/>
  <c r="F142" i="5"/>
  <c r="G142" i="5" s="1"/>
  <c r="H142" i="5" s="1"/>
  <c r="F47" i="5"/>
  <c r="G47" i="5" s="1"/>
  <c r="H47" i="5" s="1"/>
  <c r="F206" i="5"/>
  <c r="G206" i="5" s="1"/>
  <c r="H206" i="5" s="1"/>
  <c r="F310" i="5"/>
  <c r="G310" i="5" s="1"/>
  <c r="H310" i="5" s="1"/>
  <c r="F187" i="5"/>
  <c r="G187" i="5" s="1"/>
  <c r="H187" i="5" s="1"/>
  <c r="F163" i="5"/>
  <c r="G163" i="5" s="1"/>
  <c r="H163" i="5" s="1"/>
  <c r="F124" i="5"/>
  <c r="G124" i="5" s="1"/>
  <c r="H124" i="5" s="1"/>
  <c r="F166" i="5"/>
  <c r="G166" i="5" s="1"/>
  <c r="H166" i="5" s="1"/>
  <c r="F300" i="5"/>
  <c r="G300" i="5" s="1"/>
  <c r="H300" i="5" s="1"/>
  <c r="F298" i="5"/>
  <c r="G298" i="5" s="1"/>
  <c r="H298" i="5" s="1"/>
  <c r="F313" i="5"/>
  <c r="G313" i="5" s="1"/>
  <c r="H313" i="5" s="1"/>
  <c r="F197" i="5"/>
  <c r="G197" i="5" s="1"/>
  <c r="H197" i="5" s="1"/>
  <c r="F282" i="5"/>
  <c r="G282" i="5" s="1"/>
  <c r="H282" i="5" s="1"/>
  <c r="F208" i="5"/>
  <c r="G208" i="5" s="1"/>
  <c r="H208" i="5" s="1"/>
  <c r="F205" i="5"/>
  <c r="G205" i="5" s="1"/>
  <c r="H205" i="5" s="1"/>
  <c r="F336" i="5"/>
  <c r="G336" i="5" s="1"/>
  <c r="H336" i="5" s="1"/>
  <c r="F284" i="5"/>
  <c r="G284" i="5" s="1"/>
  <c r="H284" i="5" s="1"/>
  <c r="F53" i="5"/>
  <c r="G53" i="5" s="1"/>
  <c r="H53" i="5" s="1"/>
  <c r="F324" i="5"/>
  <c r="G324" i="5" s="1"/>
  <c r="H324" i="5" s="1"/>
  <c r="F202" i="5"/>
  <c r="G202" i="5" s="1"/>
  <c r="H202" i="5" s="1"/>
  <c r="F35" i="5"/>
  <c r="G35" i="5" s="1"/>
  <c r="H35" i="5" s="1"/>
  <c r="F249" i="5"/>
  <c r="G249" i="5" s="1"/>
  <c r="H249" i="5" s="1"/>
  <c r="F354" i="5"/>
  <c r="G354" i="5" s="1"/>
  <c r="H354" i="5" s="1"/>
  <c r="F318" i="5"/>
  <c r="G318" i="5" s="1"/>
  <c r="H318" i="5" s="1"/>
  <c r="F132" i="5"/>
  <c r="G132" i="5" s="1"/>
  <c r="H132" i="5" s="1"/>
  <c r="F68" i="5"/>
  <c r="G68" i="5" s="1"/>
  <c r="H68" i="5" s="1"/>
  <c r="F194" i="5"/>
  <c r="G194" i="5" s="1"/>
  <c r="H194" i="5" s="1"/>
  <c r="F287" i="5"/>
  <c r="G287" i="5" s="1"/>
  <c r="H287" i="5" s="1"/>
  <c r="F232" i="5"/>
  <c r="G232" i="5" s="1"/>
  <c r="H232" i="5" s="1"/>
  <c r="F83" i="5"/>
  <c r="G83" i="5" s="1"/>
  <c r="H83" i="5" s="1"/>
  <c r="F108" i="5"/>
  <c r="G108" i="5" s="1"/>
  <c r="H108" i="5" s="1"/>
  <c r="F58" i="5"/>
  <c r="G58" i="5" s="1"/>
  <c r="H58" i="5" s="1"/>
  <c r="F82" i="5"/>
  <c r="G82" i="5" s="1"/>
  <c r="H82" i="5" s="1"/>
  <c r="F36" i="5"/>
  <c r="G36" i="5" s="1"/>
  <c r="H36" i="5" s="1"/>
  <c r="F267" i="5"/>
  <c r="G267" i="5" s="1"/>
  <c r="H267" i="5" s="1"/>
  <c r="F334" i="5"/>
  <c r="G334" i="5" s="1"/>
  <c r="H334" i="5" s="1"/>
  <c r="F156" i="5"/>
  <c r="G156" i="5" s="1"/>
  <c r="H156" i="5" s="1"/>
  <c r="F145" i="5"/>
  <c r="G145" i="5" s="1"/>
  <c r="H145" i="5" s="1"/>
  <c r="F173" i="5"/>
  <c r="G173" i="5" s="1"/>
  <c r="H173" i="5" s="1"/>
  <c r="F345" i="5"/>
  <c r="G345" i="5" s="1"/>
  <c r="H345" i="5" s="1"/>
  <c r="F229" i="5"/>
  <c r="G229" i="5" s="1"/>
  <c r="H229" i="5" s="1"/>
  <c r="F263" i="5"/>
  <c r="G263" i="5" s="1"/>
  <c r="H263" i="5" s="1"/>
  <c r="F182" i="5"/>
  <c r="G182" i="5" s="1"/>
  <c r="H182" i="5" s="1"/>
  <c r="F286" i="5"/>
  <c r="G286" i="5" s="1"/>
  <c r="H286" i="5" s="1"/>
  <c r="F115" i="5"/>
  <c r="G115" i="5" s="1"/>
  <c r="H115" i="5" s="1"/>
  <c r="F6" i="5"/>
  <c r="G6" i="5" s="1"/>
  <c r="H6" i="5" s="1"/>
  <c r="F280" i="5"/>
  <c r="G280" i="5" s="1"/>
  <c r="H280" i="5" s="1"/>
  <c r="F362" i="5"/>
  <c r="G362" i="5" s="1"/>
  <c r="H362" i="5" s="1"/>
  <c r="F329" i="5"/>
  <c r="G329" i="5" s="1"/>
  <c r="H329" i="5" s="1"/>
  <c r="F341" i="5"/>
  <c r="G341" i="5" s="1"/>
  <c r="H341" i="5" s="1"/>
  <c r="F181" i="5"/>
  <c r="G181" i="5" s="1"/>
  <c r="H181" i="5" s="1"/>
  <c r="F63" i="5"/>
  <c r="G63" i="5" s="1"/>
  <c r="H63" i="5" s="1"/>
  <c r="F39" i="5"/>
  <c r="G39" i="5" s="1"/>
  <c r="H39" i="5" s="1"/>
  <c r="F200" i="5"/>
  <c r="G200" i="5" s="1"/>
  <c r="H200" i="5" s="1"/>
  <c r="F105" i="5"/>
  <c r="G105" i="5" s="1"/>
  <c r="H105" i="5" s="1"/>
  <c r="F292" i="5"/>
  <c r="G292" i="5" s="1"/>
  <c r="H292" i="5" s="1"/>
  <c r="F198" i="5"/>
  <c r="G198" i="5" s="1"/>
  <c r="H198" i="5" s="1"/>
  <c r="F262" i="5"/>
  <c r="G262" i="5" s="1"/>
  <c r="H262" i="5" s="1"/>
  <c r="F102" i="5"/>
  <c r="G102" i="5" s="1"/>
  <c r="H102" i="5" s="1"/>
  <c r="F316" i="5"/>
  <c r="G316" i="5" s="1"/>
  <c r="H316" i="5" s="1"/>
  <c r="F72" i="5"/>
  <c r="G72" i="5" s="1"/>
  <c r="H72" i="5" s="1"/>
  <c r="F351" i="5"/>
  <c r="G351" i="5" s="1"/>
  <c r="H351" i="5" s="1"/>
  <c r="F320" i="5"/>
  <c r="G320" i="5" s="1"/>
  <c r="H320" i="5" s="1"/>
  <c r="F32" i="5"/>
  <c r="G32" i="5" s="1"/>
  <c r="H32" i="5" s="1"/>
  <c r="F265" i="5"/>
  <c r="G265" i="5" s="1"/>
  <c r="H265" i="5" s="1"/>
  <c r="F130" i="5"/>
  <c r="G130" i="5" s="1"/>
  <c r="H130" i="5" s="1"/>
  <c r="F152" i="5"/>
  <c r="G152" i="5" s="1"/>
  <c r="H152" i="5" s="1"/>
  <c r="F328" i="5"/>
  <c r="G328" i="5" s="1"/>
  <c r="H328" i="5" s="1"/>
  <c r="F195" i="5"/>
  <c r="G195" i="5" s="1"/>
  <c r="H195" i="5" s="1"/>
  <c r="F338" i="5"/>
  <c r="G338" i="5" s="1"/>
  <c r="H338" i="5" s="1"/>
  <c r="F241" i="5"/>
  <c r="G241" i="5" s="1"/>
  <c r="H241" i="5" s="1"/>
  <c r="F357" i="5"/>
  <c r="G357" i="5" s="1"/>
  <c r="H357" i="5" s="1"/>
  <c r="F228" i="5"/>
  <c r="G228" i="5" s="1"/>
  <c r="H228" i="5" s="1"/>
  <c r="F100" i="5"/>
  <c r="G100" i="5" s="1"/>
  <c r="H100" i="5" s="1"/>
  <c r="F186" i="5"/>
  <c r="G186" i="5" s="1"/>
  <c r="H186" i="5" s="1"/>
  <c r="F159" i="5"/>
  <c r="G159" i="5" s="1"/>
  <c r="H159" i="5" s="1"/>
  <c r="F46" i="5"/>
  <c r="G46" i="5" s="1"/>
  <c r="H46" i="5" s="1"/>
  <c r="F247" i="5"/>
  <c r="G247" i="5" s="1"/>
  <c r="H247" i="5" s="1"/>
  <c r="F153" i="5"/>
  <c r="G153" i="5" s="1"/>
  <c r="H153" i="5" s="1"/>
  <c r="F60" i="5"/>
  <c r="G60" i="5" s="1"/>
  <c r="H60" i="5" s="1"/>
  <c r="F56" i="5"/>
  <c r="G56" i="5" s="1"/>
  <c r="H56" i="5" s="1"/>
  <c r="F254" i="5"/>
  <c r="G254" i="5" s="1"/>
  <c r="H254" i="5" s="1"/>
  <c r="F217" i="5"/>
  <c r="G217" i="5" s="1"/>
  <c r="H217" i="5" s="1"/>
  <c r="F135" i="5"/>
  <c r="G135" i="5" s="1"/>
  <c r="H135" i="5" s="1"/>
  <c r="F242" i="5"/>
  <c r="G242" i="5" s="1"/>
  <c r="H242" i="5" s="1"/>
  <c r="F306" i="5"/>
  <c r="G306" i="5" s="1"/>
  <c r="H306" i="5" s="1"/>
  <c r="F290" i="5"/>
  <c r="G290" i="5" s="1"/>
  <c r="H290" i="5" s="1"/>
  <c r="F171" i="5"/>
  <c r="G171" i="5" s="1"/>
  <c r="H171" i="5" s="1"/>
  <c r="F322" i="5"/>
  <c r="G322" i="5" s="1"/>
  <c r="H322" i="5" s="1"/>
  <c r="F70" i="5"/>
  <c r="G70" i="5" s="1"/>
  <c r="H70" i="5" s="1"/>
  <c r="F288" i="5"/>
  <c r="G288" i="5" s="1"/>
  <c r="H288" i="5" s="1"/>
  <c r="F215" i="5"/>
  <c r="G215" i="5" s="1"/>
  <c r="H215" i="5" s="1"/>
  <c r="F291" i="5"/>
  <c r="G291" i="5" s="1"/>
  <c r="H291" i="5" s="1"/>
  <c r="F359" i="5"/>
  <c r="G359" i="5" s="1"/>
  <c r="H359" i="5" s="1"/>
  <c r="F353" i="5"/>
  <c r="G353" i="5" s="1"/>
  <c r="H353" i="5" s="1"/>
  <c r="F138" i="5"/>
  <c r="G138" i="5" s="1"/>
  <c r="H138" i="5" s="1"/>
  <c r="F111" i="5"/>
  <c r="G111" i="5" s="1"/>
  <c r="H111" i="5" s="1"/>
  <c r="F77" i="5"/>
  <c r="G77" i="5" s="1"/>
  <c r="H77" i="5" s="1"/>
  <c r="F67" i="5"/>
  <c r="G67" i="5" s="1"/>
  <c r="H67" i="5" s="1"/>
  <c r="F13" i="5"/>
  <c r="G13" i="5" s="1"/>
  <c r="H13" i="5" s="1"/>
  <c r="F364" i="5"/>
  <c r="G364" i="5" s="1"/>
  <c r="H364" i="5" s="1"/>
  <c r="F147" i="5"/>
  <c r="G147" i="5" s="1"/>
  <c r="H147" i="5" s="1"/>
  <c r="F9" i="5"/>
  <c r="G9" i="5" s="1"/>
  <c r="H9" i="5" s="1"/>
  <c r="F91" i="5"/>
  <c r="G91" i="5" s="1"/>
  <c r="H91" i="5" s="1"/>
  <c r="F319" i="5"/>
  <c r="G319" i="5" s="1"/>
  <c r="H319" i="5" s="1"/>
  <c r="F237" i="5"/>
  <c r="G237" i="5" s="1"/>
  <c r="H237" i="5" s="1"/>
  <c r="F97" i="5"/>
  <c r="G97" i="5" s="1"/>
  <c r="H97" i="5" s="1"/>
  <c r="F84" i="5"/>
  <c r="G84" i="5" s="1"/>
  <c r="H84" i="5" s="1"/>
  <c r="F170" i="5"/>
  <c r="G170" i="5" s="1"/>
  <c r="H170" i="5" s="1"/>
  <c r="F337" i="5"/>
  <c r="G337" i="5" s="1"/>
  <c r="H337" i="5" s="1"/>
  <c r="F289" i="5"/>
  <c r="G289" i="5" s="1"/>
  <c r="H289" i="5" s="1"/>
  <c r="F176" i="5"/>
  <c r="G176" i="5" s="1"/>
  <c r="H176" i="5" s="1"/>
  <c r="F311" i="5"/>
  <c r="G311" i="5" s="1"/>
  <c r="H311" i="5" s="1"/>
  <c r="F281" i="5"/>
  <c r="G281" i="5" s="1"/>
  <c r="H281" i="5" s="1"/>
  <c r="F59" i="5"/>
  <c r="G59" i="5" s="1"/>
  <c r="H59" i="5" s="1"/>
  <c r="F190" i="5"/>
  <c r="G190" i="5" s="1"/>
  <c r="H190" i="5" s="1"/>
  <c r="F125" i="5"/>
  <c r="G125" i="5" s="1"/>
  <c r="H125" i="5" s="1"/>
  <c r="F251" i="5"/>
  <c r="G251" i="5" s="1"/>
  <c r="H251" i="5" s="1"/>
  <c r="F349" i="5"/>
  <c r="G349" i="5" s="1"/>
  <c r="H349" i="5" s="1"/>
  <c r="F236" i="5"/>
  <c r="G236" i="5" s="1"/>
  <c r="H236" i="5" s="1"/>
  <c r="F214" i="5"/>
  <c r="G214" i="5" s="1"/>
  <c r="H214" i="5" s="1"/>
  <c r="F116" i="5"/>
  <c r="G116" i="5" s="1"/>
  <c r="H116" i="5" s="1"/>
  <c r="F221" i="5"/>
  <c r="G221" i="5" s="1"/>
  <c r="H221" i="5" s="1"/>
  <c r="F99" i="5"/>
  <c r="G99" i="5" s="1"/>
  <c r="H99" i="5" s="1"/>
  <c r="F342" i="5"/>
  <c r="G342" i="5" s="1"/>
  <c r="H342" i="5" s="1"/>
  <c r="F73" i="5"/>
  <c r="G73" i="5" s="1"/>
  <c r="H73" i="5" s="1"/>
  <c r="F81" i="5"/>
  <c r="G81" i="5" s="1"/>
  <c r="H81" i="5" s="1"/>
  <c r="F133" i="5"/>
  <c r="G133" i="5" s="1"/>
  <c r="H133" i="5" s="1"/>
  <c r="F257" i="5"/>
  <c r="G257" i="5" s="1"/>
  <c r="H257" i="5" s="1"/>
  <c r="F92" i="5"/>
  <c r="G92" i="5" s="1"/>
  <c r="H92" i="5" s="1"/>
  <c r="F85" i="5"/>
  <c r="G85" i="5" s="1"/>
  <c r="H85" i="5" s="1"/>
  <c r="F340" i="5"/>
  <c r="G340" i="5" s="1"/>
  <c r="H340" i="5" s="1"/>
  <c r="F11" i="5"/>
  <c r="G11" i="5" s="1"/>
  <c r="H11" i="5" s="1"/>
  <c r="F296" i="5"/>
  <c r="G296" i="5" s="1"/>
  <c r="H296" i="5" s="1"/>
  <c r="F109" i="5"/>
  <c r="G109" i="5" s="1"/>
  <c r="H109" i="5" s="1"/>
  <c r="F363" i="5"/>
  <c r="G363" i="5" s="1"/>
  <c r="H363" i="5" s="1"/>
  <c r="F223" i="5"/>
  <c r="G223" i="5" s="1"/>
  <c r="H223" i="5" s="1"/>
  <c r="F255" i="5"/>
  <c r="G255" i="5" s="1"/>
  <c r="H255" i="5" s="1"/>
  <c r="F305" i="5"/>
  <c r="G305" i="5" s="1"/>
  <c r="H305" i="5" s="1"/>
  <c r="F149" i="5"/>
  <c r="G149" i="5" s="1"/>
  <c r="H149" i="5" s="1"/>
  <c r="F270" i="5"/>
  <c r="G270" i="5" s="1"/>
  <c r="H270" i="5" s="1"/>
  <c r="F196" i="5"/>
  <c r="G196" i="5" s="1"/>
  <c r="H196" i="5" s="1"/>
  <c r="F259" i="5"/>
  <c r="G259" i="5" s="1"/>
  <c r="H259" i="5" s="1"/>
  <c r="F201" i="5"/>
  <c r="G201" i="5" s="1"/>
  <c r="H201" i="5" s="1"/>
  <c r="F283" i="5"/>
  <c r="G283" i="5" s="1"/>
  <c r="H283" i="5" s="1"/>
  <c r="F78" i="5"/>
  <c r="G78" i="5" s="1"/>
  <c r="H78" i="5" s="1"/>
  <c r="F347" i="5"/>
  <c r="G347" i="5" s="1"/>
  <c r="H347" i="5" s="1"/>
  <c r="F16" i="5"/>
  <c r="G16" i="5" s="1"/>
  <c r="H16" i="5" s="1"/>
  <c r="F180" i="5"/>
  <c r="G180" i="5" s="1"/>
  <c r="H180" i="5" s="1"/>
  <c r="F226" i="5"/>
  <c r="G226" i="5" s="1"/>
  <c r="H226" i="5" s="1"/>
  <c r="F96" i="5"/>
  <c r="G96" i="5" s="1"/>
  <c r="H96" i="5" s="1"/>
  <c r="F162" i="5"/>
  <c r="G162" i="5" s="1"/>
  <c r="H162" i="5" s="1"/>
  <c r="F113" i="5"/>
  <c r="G113" i="5" s="1"/>
  <c r="H113" i="5" s="1"/>
  <c r="F308" i="5"/>
  <c r="G308" i="5" s="1"/>
  <c r="H308" i="5" s="1"/>
  <c r="F80" i="5"/>
  <c r="G80" i="5" s="1"/>
  <c r="H80" i="5" s="1"/>
  <c r="D366" i="5"/>
  <c r="F266" i="5"/>
  <c r="G266" i="5" s="1"/>
  <c r="H266" i="5" s="1"/>
  <c r="F301" i="5"/>
  <c r="G301" i="5" s="1"/>
  <c r="H301" i="5" s="1"/>
  <c r="F356" i="5"/>
  <c r="G356" i="5" s="1"/>
  <c r="H356" i="5" s="1"/>
  <c r="F248" i="5"/>
  <c r="G248" i="5" s="1"/>
  <c r="H248" i="5" s="1"/>
  <c r="F164" i="5"/>
  <c r="G164" i="5" s="1"/>
  <c r="H164" i="5" s="1"/>
  <c r="F50" i="5"/>
  <c r="G50" i="5" s="1"/>
  <c r="H50" i="5" s="1"/>
  <c r="F86" i="5"/>
  <c r="G86" i="5" s="1"/>
  <c r="H86" i="5" s="1"/>
  <c r="F93" i="5"/>
  <c r="G93" i="5" s="1"/>
  <c r="H93" i="5" s="1"/>
  <c r="F160" i="5"/>
  <c r="G160" i="5" s="1"/>
  <c r="H160" i="5" s="1"/>
  <c r="F243" i="5"/>
  <c r="G243" i="5" s="1"/>
  <c r="H243" i="5" s="1"/>
  <c r="C38" i="16"/>
  <c r="L5" i="5"/>
  <c r="B6" i="5"/>
  <c r="B25" i="17"/>
  <c r="B32" i="13"/>
  <c r="K5" i="5"/>
  <c r="J6" i="5"/>
  <c r="N6" i="5" s="1"/>
  <c r="C24" i="16"/>
  <c r="B24" i="16" s="1"/>
  <c r="B25" i="16" s="1"/>
  <c r="E41" i="16" l="1"/>
  <c r="E46" i="16"/>
  <c r="E61" i="16"/>
  <c r="E65" i="16"/>
  <c r="E51" i="16"/>
  <c r="E63" i="16"/>
  <c r="E55" i="16"/>
  <c r="B26" i="16"/>
  <c r="B27" i="16"/>
  <c r="E47" i="16"/>
  <c r="B8" i="17"/>
  <c r="B33" i="13"/>
  <c r="B35" i="13"/>
  <c r="C39" i="16"/>
  <c r="C40" i="16" s="1"/>
  <c r="C41" i="16" s="1"/>
  <c r="C42" i="16" s="1"/>
  <c r="C43" i="16" s="1"/>
  <c r="C44" i="16" s="1"/>
  <c r="C45" i="16" s="1"/>
  <c r="C46" i="16" s="1"/>
  <c r="C47" i="16" s="1"/>
  <c r="C48" i="16" s="1"/>
  <c r="C49" i="16" s="1"/>
  <c r="C50" i="16" s="1"/>
  <c r="C51" i="16" s="1"/>
  <c r="C52" i="16" s="1"/>
  <c r="C53" i="16" s="1"/>
  <c r="C54" i="16" s="1"/>
  <c r="C55" i="16" s="1"/>
  <c r="C56" i="16" s="1"/>
  <c r="C57" i="16" s="1"/>
  <c r="C58" i="16" s="1"/>
  <c r="C59" i="16" s="1"/>
  <c r="C60" i="16" s="1"/>
  <c r="C61" i="16" s="1"/>
  <c r="C62" i="16" s="1"/>
  <c r="C63" i="16" s="1"/>
  <c r="C64" i="16" s="1"/>
  <c r="C65" i="16" s="1"/>
  <c r="C66" i="16" s="1"/>
  <c r="E48" i="16"/>
  <c r="E52" i="16"/>
  <c r="E64" i="16"/>
  <c r="E60" i="16"/>
  <c r="E43" i="16"/>
  <c r="E66" i="16"/>
  <c r="G66" i="16" s="1"/>
  <c r="E67" i="16"/>
  <c r="E53" i="16"/>
  <c r="E40" i="16"/>
  <c r="E45" i="16"/>
  <c r="D67" i="16"/>
  <c r="D68" i="16" s="1"/>
  <c r="J7" i="5"/>
  <c r="K6" i="5"/>
  <c r="M5" i="5"/>
  <c r="B7" i="5"/>
  <c r="L6" i="5"/>
  <c r="E42" i="16"/>
  <c r="E62" i="16"/>
  <c r="E49" i="16"/>
  <c r="E44" i="16"/>
  <c r="E56" i="16"/>
  <c r="E58" i="16"/>
  <c r="O5" i="5"/>
  <c r="O6" i="5" s="1"/>
  <c r="E68" i="16" l="1"/>
  <c r="H66" i="16"/>
  <c r="B28" i="16"/>
  <c r="F35" i="16" s="1"/>
  <c r="M6" i="5"/>
  <c r="L7" i="5"/>
  <c r="B8" i="5"/>
  <c r="B43" i="13"/>
  <c r="B9" i="17"/>
  <c r="B10" i="17" s="1"/>
  <c r="B3" i="16"/>
  <c r="O7" i="5"/>
  <c r="K7" i="5"/>
  <c r="J8" i="5"/>
  <c r="N7" i="5"/>
  <c r="I66" i="16"/>
  <c r="C67" i="16"/>
  <c r="C33" i="13"/>
  <c r="B20" i="16"/>
  <c r="B15" i="17"/>
  <c r="B16" i="17" s="1"/>
  <c r="B37" i="13"/>
  <c r="G67" i="16"/>
  <c r="H67" i="16"/>
  <c r="F31" i="16" l="1"/>
  <c r="L66" i="16"/>
  <c r="B26" i="17"/>
  <c r="B27" i="17" s="1"/>
  <c r="B21" i="16"/>
  <c r="B9" i="5"/>
  <c r="L8" i="5"/>
  <c r="J9" i="5"/>
  <c r="K8" i="5"/>
  <c r="N8" i="5"/>
  <c r="O8" i="5" s="1"/>
  <c r="B22" i="17"/>
  <c r="F38" i="16"/>
  <c r="C3" i="16"/>
  <c r="F30" i="16"/>
  <c r="C25" i="16"/>
  <c r="B38" i="13"/>
  <c r="B45" i="13" s="1"/>
  <c r="B54" i="13" s="1"/>
  <c r="B55" i="13"/>
  <c r="I67" i="16"/>
  <c r="C68" i="16"/>
  <c r="M7" i="5"/>
  <c r="M8" i="5" s="1"/>
  <c r="B56" i="13" l="1"/>
  <c r="B57" i="13" s="1"/>
  <c r="B47" i="13"/>
  <c r="B48" i="13" s="1"/>
  <c r="B58" i="13"/>
  <c r="B59" i="13" s="1"/>
  <c r="F39" i="16"/>
  <c r="G38" i="16"/>
  <c r="H38" i="16"/>
  <c r="I38" i="16" s="1"/>
  <c r="B10" i="5"/>
  <c r="L9" i="5"/>
  <c r="M9" i="5" s="1"/>
  <c r="L67" i="16"/>
  <c r="C30" i="17"/>
  <c r="C31" i="17"/>
  <c r="J10" i="5"/>
  <c r="K9" i="5"/>
  <c r="N9" i="5"/>
  <c r="O9" i="5" s="1"/>
  <c r="B33" i="16"/>
  <c r="C21" i="16"/>
  <c r="B32" i="17"/>
  <c r="B33" i="17" s="1"/>
  <c r="B36" i="13"/>
  <c r="B40" i="13" s="1"/>
  <c r="C33" i="16" l="1"/>
  <c r="I69" i="16"/>
  <c r="I71" i="16" s="1"/>
  <c r="K66" i="16"/>
  <c r="J11" i="5"/>
  <c r="K10" i="5"/>
  <c r="N10" i="5"/>
  <c r="L10" i="5"/>
  <c r="M10" i="5" s="1"/>
  <c r="B11" i="5"/>
  <c r="F40" i="16"/>
  <c r="H39" i="16"/>
  <c r="I39" i="16" s="1"/>
  <c r="G39" i="16"/>
  <c r="L38" i="16"/>
  <c r="K38" i="16"/>
  <c r="B35" i="17"/>
  <c r="K67" i="16"/>
  <c r="B18" i="17"/>
  <c r="B50" i="13"/>
  <c r="C35" i="17" l="1"/>
  <c r="F29" i="16"/>
  <c r="B8" i="18" s="1"/>
  <c r="F41" i="16"/>
  <c r="G40" i="16"/>
  <c r="H40" i="16"/>
  <c r="I40" i="16" s="1"/>
  <c r="C18" i="17"/>
  <c r="B51" i="13"/>
  <c r="L11" i="5"/>
  <c r="B12" i="5"/>
  <c r="K11" i="5"/>
  <c r="J12" i="5"/>
  <c r="N11" i="5"/>
  <c r="O10" i="5"/>
  <c r="L39" i="16"/>
  <c r="K39" i="16"/>
  <c r="M11" i="5"/>
  <c r="K12" i="5" l="1"/>
  <c r="J13" i="5"/>
  <c r="N12" i="5"/>
  <c r="F42" i="16"/>
  <c r="H41" i="16"/>
  <c r="I41" i="16" s="1"/>
  <c r="G41" i="16"/>
  <c r="O11" i="5"/>
  <c r="O12" i="5" s="1"/>
  <c r="L12" i="5"/>
  <c r="M12" i="5" s="1"/>
  <c r="B13" i="5"/>
  <c r="L40" i="16"/>
  <c r="K40" i="16"/>
  <c r="B14" i="5" l="1"/>
  <c r="L13" i="5"/>
  <c r="M13" i="5" s="1"/>
  <c r="K41" i="16"/>
  <c r="L41" i="16"/>
  <c r="J14" i="5"/>
  <c r="K13" i="5"/>
  <c r="N13" i="5"/>
  <c r="O13" i="5" s="1"/>
  <c r="G42" i="16"/>
  <c r="F43" i="16"/>
  <c r="H42" i="16"/>
  <c r="I42" i="16" s="1"/>
  <c r="H43" i="16" l="1"/>
  <c r="I43" i="16" s="1"/>
  <c r="F44" i="16"/>
  <c r="G43" i="16"/>
  <c r="K14" i="5"/>
  <c r="J15" i="5"/>
  <c r="N14" i="5"/>
  <c r="O14" i="5" s="1"/>
  <c r="L14" i="5"/>
  <c r="M14" i="5" s="1"/>
  <c r="B15" i="5"/>
  <c r="L42" i="16"/>
  <c r="K42" i="16"/>
  <c r="K15" i="5" l="1"/>
  <c r="J16" i="5"/>
  <c r="N15" i="5"/>
  <c r="O15" i="5" s="1"/>
  <c r="B16" i="5"/>
  <c r="L15" i="5"/>
  <c r="M15" i="5" s="1"/>
  <c r="F45" i="16"/>
  <c r="G44" i="16"/>
  <c r="H44" i="16"/>
  <c r="I44" i="16" s="1"/>
  <c r="K43" i="16"/>
  <c r="L43" i="16"/>
  <c r="G45" i="16" l="1"/>
  <c r="H45" i="16"/>
  <c r="I45" i="16" s="1"/>
  <c r="F46" i="16"/>
  <c r="K16" i="5"/>
  <c r="J17" i="5"/>
  <c r="N16" i="5"/>
  <c r="O16" i="5" s="1"/>
  <c r="L44" i="16"/>
  <c r="K44" i="16"/>
  <c r="L16" i="5"/>
  <c r="M16" i="5" s="1"/>
  <c r="B17" i="5"/>
  <c r="L45" i="16" l="1"/>
  <c r="K45" i="16"/>
  <c r="J18" i="5"/>
  <c r="K17" i="5"/>
  <c r="N17" i="5"/>
  <c r="O17" i="5" s="1"/>
  <c r="L17" i="5"/>
  <c r="M17" i="5" s="1"/>
  <c r="B18" i="5"/>
  <c r="F47" i="16"/>
  <c r="H46" i="16"/>
  <c r="I46" i="16" s="1"/>
  <c r="G46" i="16"/>
  <c r="L46" i="16" l="1"/>
  <c r="K46" i="16"/>
  <c r="F48" i="16"/>
  <c r="G47" i="16"/>
  <c r="H47" i="16"/>
  <c r="I47" i="16" s="1"/>
  <c r="B19" i="5"/>
  <c r="L18" i="5"/>
  <c r="M18" i="5" s="1"/>
  <c r="K18" i="5"/>
  <c r="J19" i="5"/>
  <c r="N18" i="5"/>
  <c r="O18" i="5" s="1"/>
  <c r="K19" i="5" l="1"/>
  <c r="J20" i="5"/>
  <c r="N19" i="5"/>
  <c r="O19" i="5" s="1"/>
  <c r="L19" i="5"/>
  <c r="M19" i="5" s="1"/>
  <c r="B20" i="5"/>
  <c r="K47" i="16"/>
  <c r="L47" i="16"/>
  <c r="H48" i="16"/>
  <c r="I48" i="16" s="1"/>
  <c r="F49" i="16"/>
  <c r="G48" i="16"/>
  <c r="J21" i="5" l="1"/>
  <c r="K20" i="5"/>
  <c r="N20" i="5"/>
  <c r="O20" i="5" s="1"/>
  <c r="G49" i="16"/>
  <c r="H49" i="16"/>
  <c r="I49" i="16" s="1"/>
  <c r="F50" i="16"/>
  <c r="L20" i="5"/>
  <c r="M20" i="5" s="1"/>
  <c r="B21" i="5"/>
  <c r="K48" i="16"/>
  <c r="L48" i="16"/>
  <c r="K49" i="16" l="1"/>
  <c r="L49" i="16"/>
  <c r="K21" i="5"/>
  <c r="J22" i="5"/>
  <c r="N21" i="5"/>
  <c r="O21" i="5" s="1"/>
  <c r="B22" i="5"/>
  <c r="L21" i="5"/>
  <c r="M21" i="5" s="1"/>
  <c r="H50" i="16"/>
  <c r="I50" i="16" s="1"/>
  <c r="F51" i="16"/>
  <c r="G50" i="16"/>
  <c r="G51" i="16" l="1"/>
  <c r="F52" i="16"/>
  <c r="H51" i="16"/>
  <c r="I51" i="16" s="1"/>
  <c r="K50" i="16"/>
  <c r="L50" i="16"/>
  <c r="K22" i="5"/>
  <c r="J23" i="5"/>
  <c r="N22" i="5"/>
  <c r="O22" i="5" s="1"/>
  <c r="L22" i="5"/>
  <c r="M22" i="5" s="1"/>
  <c r="B23" i="5"/>
  <c r="L23" i="5" l="1"/>
  <c r="M23" i="5" s="1"/>
  <c r="B24" i="5"/>
  <c r="G52" i="16"/>
  <c r="H52" i="16"/>
  <c r="I52" i="16" s="1"/>
  <c r="F53" i="16"/>
  <c r="J24" i="5"/>
  <c r="K23" i="5"/>
  <c r="N23" i="5"/>
  <c r="O23" i="5" s="1"/>
  <c r="K51" i="16"/>
  <c r="L51" i="16"/>
  <c r="J25" i="5" l="1"/>
  <c r="K24" i="5"/>
  <c r="N24" i="5"/>
  <c r="O24" i="5" s="1"/>
  <c r="G53" i="16"/>
  <c r="H53" i="16"/>
  <c r="I53" i="16" s="1"/>
  <c r="F54" i="16"/>
  <c r="L52" i="16"/>
  <c r="K52" i="16"/>
  <c r="L24" i="5"/>
  <c r="M24" i="5" s="1"/>
  <c r="B25" i="5"/>
  <c r="K25" i="5" l="1"/>
  <c r="J26" i="5"/>
  <c r="N25" i="5"/>
  <c r="O25" i="5" s="1"/>
  <c r="L25" i="5"/>
  <c r="M25" i="5" s="1"/>
  <c r="B26" i="5"/>
  <c r="F55" i="16"/>
  <c r="H54" i="16"/>
  <c r="I54" i="16" s="1"/>
  <c r="G54" i="16"/>
  <c r="K53" i="16"/>
  <c r="L53" i="16"/>
  <c r="G55" i="16" l="1"/>
  <c r="F56" i="16"/>
  <c r="H55" i="16"/>
  <c r="I55" i="16" s="1"/>
  <c r="J27" i="5"/>
  <c r="K26" i="5"/>
  <c r="N26" i="5"/>
  <c r="O26" i="5" s="1"/>
  <c r="L26" i="5"/>
  <c r="B27" i="5"/>
  <c r="K54" i="16"/>
  <c r="L54" i="16"/>
  <c r="M26" i="5"/>
  <c r="L55" i="16" l="1"/>
  <c r="K55" i="16"/>
  <c r="G56" i="16"/>
  <c r="H56" i="16"/>
  <c r="I56" i="16" s="1"/>
  <c r="F57" i="16"/>
  <c r="B28" i="5"/>
  <c r="L27" i="5"/>
  <c r="M27" i="5" s="1"/>
  <c r="J28" i="5"/>
  <c r="K27" i="5"/>
  <c r="N27" i="5"/>
  <c r="O27" i="5" s="1"/>
  <c r="K56" i="16" l="1"/>
  <c r="L56" i="16"/>
  <c r="L28" i="5"/>
  <c r="M28" i="5" s="1"/>
  <c r="B29" i="5"/>
  <c r="K28" i="5"/>
  <c r="J29" i="5"/>
  <c r="N28" i="5"/>
  <c r="O28" i="5" s="1"/>
  <c r="F58" i="16"/>
  <c r="G57" i="16"/>
  <c r="H57" i="16"/>
  <c r="I57" i="16" s="1"/>
  <c r="K57" i="16" l="1"/>
  <c r="L57" i="16"/>
  <c r="J30" i="5"/>
  <c r="K29" i="5"/>
  <c r="N29" i="5"/>
  <c r="O29" i="5" s="1"/>
  <c r="F59" i="16"/>
  <c r="G58" i="16"/>
  <c r="H58" i="16"/>
  <c r="I58" i="16" s="1"/>
  <c r="L29" i="5"/>
  <c r="M29" i="5" s="1"/>
  <c r="B30" i="5"/>
  <c r="B31" i="5" l="1"/>
  <c r="L30" i="5"/>
  <c r="M30" i="5" s="1"/>
  <c r="K58" i="16"/>
  <c r="L58" i="16"/>
  <c r="G59" i="16"/>
  <c r="F60" i="16"/>
  <c r="H59" i="16"/>
  <c r="I59" i="16" s="1"/>
  <c r="J31" i="5"/>
  <c r="K30" i="5"/>
  <c r="N30" i="5"/>
  <c r="O30" i="5" s="1"/>
  <c r="H60" i="16" l="1"/>
  <c r="I60" i="16" s="1"/>
  <c r="G60" i="16"/>
  <c r="F61" i="16"/>
  <c r="B32" i="5"/>
  <c r="L31" i="5"/>
  <c r="M31" i="5" s="1"/>
  <c r="K31" i="5"/>
  <c r="J32" i="5"/>
  <c r="N31" i="5"/>
  <c r="O31" i="5" s="1"/>
  <c r="K59" i="16"/>
  <c r="L59" i="16"/>
  <c r="K60" i="16" l="1"/>
  <c r="L60" i="16"/>
  <c r="B33" i="5"/>
  <c r="L32" i="5"/>
  <c r="M32" i="5" s="1"/>
  <c r="K32" i="5"/>
  <c r="J33" i="5"/>
  <c r="N32" i="5"/>
  <c r="O32" i="5" s="1"/>
  <c r="F62" i="16"/>
  <c r="G61" i="16"/>
  <c r="H61" i="16"/>
  <c r="I61" i="16" s="1"/>
  <c r="K61" i="16" l="1"/>
  <c r="L61" i="16"/>
  <c r="J34" i="5"/>
  <c r="K33" i="5"/>
  <c r="N33" i="5"/>
  <c r="O33" i="5" s="1"/>
  <c r="B34" i="5"/>
  <c r="L33" i="5"/>
  <c r="M33" i="5" s="1"/>
  <c r="F63" i="16"/>
  <c r="G62" i="16"/>
  <c r="H62" i="16"/>
  <c r="I62" i="16" s="1"/>
  <c r="L34" i="5" l="1"/>
  <c r="M34" i="5" s="1"/>
  <c r="B35" i="5"/>
  <c r="H63" i="16"/>
  <c r="F64" i="16"/>
  <c r="G63" i="16"/>
  <c r="K62" i="16"/>
  <c r="L62" i="16"/>
  <c r="K34" i="5"/>
  <c r="J35" i="5"/>
  <c r="N34" i="5"/>
  <c r="O34" i="5" s="1"/>
  <c r="B36" i="5" l="1"/>
  <c r="L35" i="5"/>
  <c r="M35" i="5" s="1"/>
  <c r="G64" i="16"/>
  <c r="H64" i="16"/>
  <c r="I64" i="16" s="1"/>
  <c r="F65" i="16"/>
  <c r="J36" i="5"/>
  <c r="K35" i="5"/>
  <c r="N35" i="5"/>
  <c r="O35" i="5" s="1"/>
  <c r="I63" i="16"/>
  <c r="K36" i="5" l="1"/>
  <c r="J37" i="5"/>
  <c r="N36" i="5"/>
  <c r="O36" i="5" s="1"/>
  <c r="G65" i="16"/>
  <c r="G68" i="16" s="1"/>
  <c r="H65" i="16"/>
  <c r="F68" i="16"/>
  <c r="B37" i="5"/>
  <c r="L36" i="5"/>
  <c r="M36" i="5" s="1"/>
  <c r="K63" i="16"/>
  <c r="L63" i="16"/>
  <c r="K64" i="16"/>
  <c r="L64" i="16"/>
  <c r="K37" i="5" l="1"/>
  <c r="J38" i="5"/>
  <c r="N37" i="5"/>
  <c r="O37" i="5" s="1"/>
  <c r="I65" i="16"/>
  <c r="H68" i="16"/>
  <c r="L37" i="5"/>
  <c r="M37" i="5" s="1"/>
  <c r="B38" i="5"/>
  <c r="L38" i="5" l="1"/>
  <c r="M38" i="5" s="1"/>
  <c r="B39" i="5"/>
  <c r="J39" i="5"/>
  <c r="K38" i="5"/>
  <c r="N38" i="5"/>
  <c r="L65" i="16"/>
  <c r="K65" i="16"/>
  <c r="I68" i="16"/>
  <c r="O38" i="5"/>
  <c r="J40" i="5" l="1"/>
  <c r="K39" i="5"/>
  <c r="N39" i="5"/>
  <c r="O39" i="5" s="1"/>
  <c r="B40" i="5"/>
  <c r="L39" i="5"/>
  <c r="M39" i="5" s="1"/>
  <c r="K68" i="16"/>
  <c r="L68" i="16"/>
  <c r="I70" i="16"/>
  <c r="I72" i="16" s="1"/>
  <c r="I73" i="16" s="1"/>
  <c r="K40" i="5" l="1"/>
  <c r="J41" i="5"/>
  <c r="N40" i="5"/>
  <c r="O40" i="5" s="1"/>
  <c r="B41" i="5"/>
  <c r="L40" i="5"/>
  <c r="M40" i="5" s="1"/>
  <c r="J42" i="5" l="1"/>
  <c r="K41" i="5"/>
  <c r="N41" i="5"/>
  <c r="O41" i="5" s="1"/>
  <c r="L41" i="5"/>
  <c r="M41" i="5" s="1"/>
  <c r="B42" i="5"/>
  <c r="B43" i="5" l="1"/>
  <c r="L42" i="5"/>
  <c r="M42" i="5" s="1"/>
  <c r="K42" i="5"/>
  <c r="J43" i="5"/>
  <c r="N42" i="5"/>
  <c r="O42" i="5" s="1"/>
  <c r="L43" i="5" l="1"/>
  <c r="M43" i="5" s="1"/>
  <c r="B44" i="5"/>
  <c r="K43" i="5"/>
  <c r="J44" i="5"/>
  <c r="N43" i="5"/>
  <c r="O43" i="5" s="1"/>
  <c r="L44" i="5" l="1"/>
  <c r="M44" i="5" s="1"/>
  <c r="B45" i="5"/>
  <c r="K44" i="5"/>
  <c r="J45" i="5"/>
  <c r="N44" i="5"/>
  <c r="O44" i="5" s="1"/>
  <c r="J46" i="5" l="1"/>
  <c r="K45" i="5"/>
  <c r="N45" i="5"/>
  <c r="O45" i="5" s="1"/>
  <c r="B46" i="5"/>
  <c r="L45" i="5"/>
  <c r="M45" i="5" s="1"/>
  <c r="J47" i="5" l="1"/>
  <c r="K46" i="5"/>
  <c r="N46" i="5"/>
  <c r="O46" i="5" s="1"/>
  <c r="B47" i="5"/>
  <c r="L46" i="5"/>
  <c r="M46" i="5" s="1"/>
  <c r="J48" i="5" l="1"/>
  <c r="K47" i="5"/>
  <c r="N47" i="5"/>
  <c r="O47" i="5" s="1"/>
  <c r="L47" i="5"/>
  <c r="M47" i="5" s="1"/>
  <c r="B48" i="5"/>
  <c r="B49" i="5" l="1"/>
  <c r="L48" i="5"/>
  <c r="M48" i="5" s="1"/>
  <c r="J49" i="5"/>
  <c r="K48" i="5"/>
  <c r="N48" i="5"/>
  <c r="O48" i="5" s="1"/>
  <c r="B50" i="5" l="1"/>
  <c r="L49" i="5"/>
  <c r="M49" i="5" s="1"/>
  <c r="J50" i="5"/>
  <c r="K49" i="5"/>
  <c r="N49" i="5"/>
  <c r="O49" i="5" s="1"/>
  <c r="K50" i="5" l="1"/>
  <c r="J51" i="5"/>
  <c r="N50" i="5"/>
  <c r="O50" i="5" s="1"/>
  <c r="B51" i="5"/>
  <c r="L50" i="5"/>
  <c r="M50" i="5" s="1"/>
  <c r="L51" i="5" l="1"/>
  <c r="M51" i="5" s="1"/>
  <c r="B52" i="5"/>
  <c r="K51" i="5"/>
  <c r="J52" i="5"/>
  <c r="N51" i="5"/>
  <c r="O51" i="5" s="1"/>
  <c r="B53" i="5" l="1"/>
  <c r="L52" i="5"/>
  <c r="M52" i="5" s="1"/>
  <c r="J53" i="5"/>
  <c r="K52" i="5"/>
  <c r="N52" i="5"/>
  <c r="O52" i="5" s="1"/>
  <c r="B54" i="5" l="1"/>
  <c r="L53" i="5"/>
  <c r="M53" i="5" s="1"/>
  <c r="K53" i="5"/>
  <c r="J54" i="5"/>
  <c r="N53" i="5"/>
  <c r="O53" i="5" s="1"/>
  <c r="B55" i="5" l="1"/>
  <c r="L54" i="5"/>
  <c r="M54" i="5" s="1"/>
  <c r="J55" i="5"/>
  <c r="K54" i="5"/>
  <c r="N54" i="5"/>
  <c r="O54" i="5" s="1"/>
  <c r="L55" i="5" l="1"/>
  <c r="M55" i="5" s="1"/>
  <c r="B56" i="5"/>
  <c r="K55" i="5"/>
  <c r="J56" i="5"/>
  <c r="N55" i="5"/>
  <c r="O55" i="5" s="1"/>
  <c r="L56" i="5" l="1"/>
  <c r="M56" i="5" s="1"/>
  <c r="B57" i="5"/>
  <c r="J57" i="5"/>
  <c r="K56" i="5"/>
  <c r="N56" i="5"/>
  <c r="O56" i="5" s="1"/>
  <c r="B58" i="5" l="1"/>
  <c r="L57" i="5"/>
  <c r="M57" i="5" s="1"/>
  <c r="K57" i="5"/>
  <c r="J58" i="5"/>
  <c r="N57" i="5"/>
  <c r="O57" i="5"/>
  <c r="B59" i="5" l="1"/>
  <c r="L58" i="5"/>
  <c r="M58" i="5" s="1"/>
  <c r="K58" i="5"/>
  <c r="J59" i="5"/>
  <c r="N58" i="5"/>
  <c r="O58" i="5" s="1"/>
  <c r="J60" i="5" l="1"/>
  <c r="K59" i="5"/>
  <c r="N59" i="5"/>
  <c r="O59" i="5" s="1"/>
  <c r="L59" i="5"/>
  <c r="M59" i="5" s="1"/>
  <c r="B60" i="5"/>
  <c r="B61" i="5" l="1"/>
  <c r="L60" i="5"/>
  <c r="M60" i="5" s="1"/>
  <c r="K60" i="5"/>
  <c r="J61" i="5"/>
  <c r="N60" i="5"/>
  <c r="O60" i="5" s="1"/>
  <c r="B62" i="5" l="1"/>
  <c r="L61" i="5"/>
  <c r="M61" i="5" s="1"/>
  <c r="J62" i="5"/>
  <c r="K61" i="5"/>
  <c r="N61" i="5"/>
  <c r="O61" i="5" s="1"/>
  <c r="B63" i="5" l="1"/>
  <c r="L62" i="5"/>
  <c r="M62" i="5" s="1"/>
  <c r="K62" i="5"/>
  <c r="J63" i="5"/>
  <c r="N62" i="5"/>
  <c r="O62" i="5" s="1"/>
  <c r="L63" i="5" l="1"/>
  <c r="M63" i="5" s="1"/>
  <c r="B64" i="5"/>
  <c r="J64" i="5"/>
  <c r="K63" i="5"/>
  <c r="N63" i="5"/>
  <c r="O63" i="5" s="1"/>
  <c r="L64" i="5" l="1"/>
  <c r="M64" i="5" s="1"/>
  <c r="B65" i="5"/>
  <c r="J65" i="5"/>
  <c r="K64" i="5"/>
  <c r="N64" i="5"/>
  <c r="O64" i="5" s="1"/>
  <c r="L65" i="5" l="1"/>
  <c r="M65" i="5" s="1"/>
  <c r="B66" i="5"/>
  <c r="K65" i="5"/>
  <c r="J66" i="5"/>
  <c r="N65" i="5"/>
  <c r="O65" i="5" s="1"/>
  <c r="K66" i="5" l="1"/>
  <c r="J67" i="5"/>
  <c r="N66" i="5"/>
  <c r="O66" i="5" s="1"/>
  <c r="B67" i="5"/>
  <c r="L66" i="5"/>
  <c r="M66" i="5" s="1"/>
  <c r="K67" i="5" l="1"/>
  <c r="J68" i="5"/>
  <c r="N67" i="5"/>
  <c r="O67" i="5" s="1"/>
  <c r="L67" i="5"/>
  <c r="M67" i="5" s="1"/>
  <c r="B68" i="5"/>
  <c r="K68" i="5" l="1"/>
  <c r="J69" i="5"/>
  <c r="N68" i="5"/>
  <c r="O68" i="5" s="1"/>
  <c r="B69" i="5"/>
  <c r="L68" i="5"/>
  <c r="M68" i="5" s="1"/>
  <c r="J70" i="5" l="1"/>
  <c r="K69" i="5"/>
  <c r="N69" i="5"/>
  <c r="O69" i="5" s="1"/>
  <c r="L69" i="5"/>
  <c r="M69" i="5" s="1"/>
  <c r="B70" i="5"/>
  <c r="B71" i="5" l="1"/>
  <c r="L70" i="5"/>
  <c r="M70" i="5" s="1"/>
  <c r="K70" i="5"/>
  <c r="J71" i="5"/>
  <c r="N70" i="5"/>
  <c r="O70" i="5"/>
  <c r="B72" i="5" l="1"/>
  <c r="L71" i="5"/>
  <c r="M71" i="5" s="1"/>
  <c r="K71" i="5"/>
  <c r="J72" i="5"/>
  <c r="N71" i="5"/>
  <c r="O71" i="5" s="1"/>
  <c r="L72" i="5" l="1"/>
  <c r="M72" i="5" s="1"/>
  <c r="B73" i="5"/>
  <c r="K72" i="5"/>
  <c r="J73" i="5"/>
  <c r="N72" i="5"/>
  <c r="O72" i="5" s="1"/>
  <c r="L73" i="5" l="1"/>
  <c r="M73" i="5" s="1"/>
  <c r="B74" i="5"/>
  <c r="J74" i="5"/>
  <c r="K73" i="5"/>
  <c r="N73" i="5"/>
  <c r="O73" i="5"/>
  <c r="J75" i="5" l="1"/>
  <c r="K74" i="5"/>
  <c r="N74" i="5"/>
  <c r="O74" i="5" s="1"/>
  <c r="L74" i="5"/>
  <c r="M74" i="5" s="1"/>
  <c r="B75" i="5"/>
  <c r="L75" i="5" l="1"/>
  <c r="M75" i="5" s="1"/>
  <c r="B76" i="5"/>
  <c r="K75" i="5"/>
  <c r="J76" i="5"/>
  <c r="N75" i="5"/>
  <c r="O75" i="5" s="1"/>
  <c r="K76" i="5" l="1"/>
  <c r="J77" i="5"/>
  <c r="N76" i="5"/>
  <c r="O76" i="5" s="1"/>
  <c r="B77" i="5"/>
  <c r="L76" i="5"/>
  <c r="M76" i="5" s="1"/>
  <c r="K77" i="5" l="1"/>
  <c r="J78" i="5"/>
  <c r="N77" i="5"/>
  <c r="O77" i="5" s="1"/>
  <c r="L77" i="5"/>
  <c r="M77" i="5" s="1"/>
  <c r="B78" i="5"/>
  <c r="J79" i="5" l="1"/>
  <c r="K78" i="5"/>
  <c r="N78" i="5"/>
  <c r="O78" i="5" s="1"/>
  <c r="L78" i="5"/>
  <c r="M78" i="5" s="1"/>
  <c r="B79" i="5"/>
  <c r="J80" i="5" l="1"/>
  <c r="K79" i="5"/>
  <c r="N79" i="5"/>
  <c r="O79" i="5" s="1"/>
  <c r="L79" i="5"/>
  <c r="M79" i="5" s="1"/>
  <c r="B80" i="5"/>
  <c r="B81" i="5" l="1"/>
  <c r="L80" i="5"/>
  <c r="M80" i="5" s="1"/>
  <c r="J81" i="5"/>
  <c r="K80" i="5"/>
  <c r="N80" i="5"/>
  <c r="O80" i="5" s="1"/>
  <c r="L81" i="5" l="1"/>
  <c r="M81" i="5" s="1"/>
  <c r="B82" i="5"/>
  <c r="K81" i="5"/>
  <c r="J82" i="5"/>
  <c r="N81" i="5"/>
  <c r="O81" i="5" s="1"/>
  <c r="L82" i="5" l="1"/>
  <c r="M82" i="5" s="1"/>
  <c r="B83" i="5"/>
  <c r="J83" i="5"/>
  <c r="K82" i="5"/>
  <c r="N82" i="5"/>
  <c r="O82" i="5" s="1"/>
  <c r="L83" i="5" l="1"/>
  <c r="M83" i="5" s="1"/>
  <c r="B84" i="5"/>
  <c r="K83" i="5"/>
  <c r="J84" i="5"/>
  <c r="N83" i="5"/>
  <c r="O83" i="5" s="1"/>
  <c r="J85" i="5" l="1"/>
  <c r="K84" i="5"/>
  <c r="N84" i="5"/>
  <c r="O84" i="5" s="1"/>
  <c r="B85" i="5"/>
  <c r="L84" i="5"/>
  <c r="M84" i="5" s="1"/>
  <c r="J86" i="5" l="1"/>
  <c r="K85" i="5"/>
  <c r="N85" i="5"/>
  <c r="O85" i="5" s="1"/>
  <c r="B86" i="5"/>
  <c r="L85" i="5"/>
  <c r="M85" i="5" s="1"/>
  <c r="K86" i="5" l="1"/>
  <c r="J87" i="5"/>
  <c r="N86" i="5"/>
  <c r="O86" i="5" s="1"/>
  <c r="B87" i="5"/>
  <c r="L86" i="5"/>
  <c r="M86" i="5" s="1"/>
  <c r="J88" i="5" l="1"/>
  <c r="K87" i="5"/>
  <c r="N87" i="5"/>
  <c r="O87" i="5" s="1"/>
  <c r="L87" i="5"/>
  <c r="M87" i="5" s="1"/>
  <c r="B88" i="5"/>
  <c r="B89" i="5" l="1"/>
  <c r="L88" i="5"/>
  <c r="M88" i="5" s="1"/>
  <c r="J89" i="5"/>
  <c r="K88" i="5"/>
  <c r="N88" i="5"/>
  <c r="O88" i="5" s="1"/>
  <c r="L89" i="5" l="1"/>
  <c r="M89" i="5" s="1"/>
  <c r="B90" i="5"/>
  <c r="K89" i="5"/>
  <c r="J90" i="5"/>
  <c r="N89" i="5"/>
  <c r="O89" i="5" s="1"/>
  <c r="B91" i="5" l="1"/>
  <c r="L90" i="5"/>
  <c r="M90" i="5" s="1"/>
  <c r="J91" i="5"/>
  <c r="K90" i="5"/>
  <c r="N90" i="5"/>
  <c r="O90" i="5" s="1"/>
  <c r="L91" i="5" l="1"/>
  <c r="M91" i="5" s="1"/>
  <c r="B92" i="5"/>
  <c r="J92" i="5"/>
  <c r="K91" i="5"/>
  <c r="N91" i="5"/>
  <c r="O91" i="5" s="1"/>
  <c r="L92" i="5" l="1"/>
  <c r="M92" i="5" s="1"/>
  <c r="B93" i="5"/>
  <c r="K92" i="5"/>
  <c r="J93" i="5"/>
  <c r="N92" i="5"/>
  <c r="O92" i="5" s="1"/>
  <c r="K93" i="5" l="1"/>
  <c r="J94" i="5"/>
  <c r="N93" i="5"/>
  <c r="O93" i="5" s="1"/>
  <c r="L93" i="5"/>
  <c r="M93" i="5" s="1"/>
  <c r="B94" i="5"/>
  <c r="B95" i="5" l="1"/>
  <c r="L94" i="5"/>
  <c r="M94" i="5" s="1"/>
  <c r="J95" i="5"/>
  <c r="K94" i="5"/>
  <c r="N94" i="5"/>
  <c r="O94" i="5" s="1"/>
  <c r="L95" i="5" l="1"/>
  <c r="M95" i="5" s="1"/>
  <c r="B96" i="5"/>
  <c r="J96" i="5"/>
  <c r="K95" i="5"/>
  <c r="N95" i="5"/>
  <c r="O95" i="5" s="1"/>
  <c r="J97" i="5" l="1"/>
  <c r="K96" i="5"/>
  <c r="N96" i="5"/>
  <c r="O96" i="5" s="1"/>
  <c r="L96" i="5"/>
  <c r="M96" i="5" s="1"/>
  <c r="B97" i="5"/>
  <c r="L97" i="5" l="1"/>
  <c r="M97" i="5" s="1"/>
  <c r="B98" i="5"/>
  <c r="K97" i="5"/>
  <c r="J98" i="5"/>
  <c r="N97" i="5"/>
  <c r="O97" i="5" s="1"/>
  <c r="J99" i="5" l="1"/>
  <c r="K98" i="5"/>
  <c r="N98" i="5"/>
  <c r="O98" i="5" s="1"/>
  <c r="B99" i="5"/>
  <c r="L98" i="5"/>
  <c r="M98" i="5" s="1"/>
  <c r="K99" i="5" l="1"/>
  <c r="J100" i="5"/>
  <c r="N99" i="5"/>
  <c r="O99" i="5" s="1"/>
  <c r="L99" i="5"/>
  <c r="M99" i="5" s="1"/>
  <c r="B100" i="5"/>
  <c r="J101" i="5" l="1"/>
  <c r="K100" i="5"/>
  <c r="N100" i="5"/>
  <c r="O100" i="5" s="1"/>
  <c r="L100" i="5"/>
  <c r="M100" i="5" s="1"/>
  <c r="B101" i="5"/>
  <c r="B102" i="5" l="1"/>
  <c r="L101" i="5"/>
  <c r="M101" i="5" s="1"/>
  <c r="J102" i="5"/>
  <c r="K101" i="5"/>
  <c r="N101" i="5"/>
  <c r="O101" i="5" s="1"/>
  <c r="B103" i="5" l="1"/>
  <c r="L102" i="5"/>
  <c r="M102" i="5" s="1"/>
  <c r="J103" i="5"/>
  <c r="K102" i="5"/>
  <c r="N102" i="5"/>
  <c r="O102" i="5" s="1"/>
  <c r="B104" i="5" l="1"/>
  <c r="L103" i="5"/>
  <c r="M103" i="5" s="1"/>
  <c r="K103" i="5"/>
  <c r="J104" i="5"/>
  <c r="N103" i="5"/>
  <c r="O103" i="5" s="1"/>
  <c r="B105" i="5" l="1"/>
  <c r="L104" i="5"/>
  <c r="M104" i="5" s="1"/>
  <c r="J105" i="5"/>
  <c r="K104" i="5"/>
  <c r="N104" i="5"/>
  <c r="O104" i="5" s="1"/>
  <c r="B106" i="5" l="1"/>
  <c r="L105" i="5"/>
  <c r="M105" i="5" s="1"/>
  <c r="J106" i="5"/>
  <c r="K105" i="5"/>
  <c r="N105" i="5"/>
  <c r="O105" i="5" s="1"/>
  <c r="B107" i="5" l="1"/>
  <c r="L106" i="5"/>
  <c r="M106" i="5" s="1"/>
  <c r="K106" i="5"/>
  <c r="J107" i="5"/>
  <c r="N106" i="5"/>
  <c r="O106" i="5" s="1"/>
  <c r="L107" i="5" l="1"/>
  <c r="M107" i="5" s="1"/>
  <c r="B108" i="5"/>
  <c r="J108" i="5"/>
  <c r="K107" i="5"/>
  <c r="N107" i="5"/>
  <c r="O107" i="5" s="1"/>
  <c r="L108" i="5" l="1"/>
  <c r="M108" i="5" s="1"/>
  <c r="B109" i="5"/>
  <c r="K108" i="5"/>
  <c r="J109" i="5"/>
  <c r="N108" i="5"/>
  <c r="O108" i="5" s="1"/>
  <c r="L109" i="5" l="1"/>
  <c r="M109" i="5" s="1"/>
  <c r="B110" i="5"/>
  <c r="J110" i="5"/>
  <c r="K109" i="5"/>
  <c r="N109" i="5"/>
  <c r="O109" i="5" s="1"/>
  <c r="B111" i="5" l="1"/>
  <c r="L110" i="5"/>
  <c r="M110" i="5" s="1"/>
  <c r="K110" i="5"/>
  <c r="J111" i="5"/>
  <c r="N110" i="5"/>
  <c r="O110" i="5" s="1"/>
  <c r="B112" i="5" l="1"/>
  <c r="L111" i="5"/>
  <c r="M111" i="5" s="1"/>
  <c r="K111" i="5"/>
  <c r="J112" i="5"/>
  <c r="N111" i="5"/>
  <c r="O111" i="5" s="1"/>
  <c r="L112" i="5" l="1"/>
  <c r="M112" i="5" s="1"/>
  <c r="B113" i="5"/>
  <c r="K112" i="5"/>
  <c r="J113" i="5"/>
  <c r="N112" i="5"/>
  <c r="O112" i="5" s="1"/>
  <c r="L113" i="5" l="1"/>
  <c r="M113" i="5" s="1"/>
  <c r="B114" i="5"/>
  <c r="K113" i="5"/>
  <c r="J114" i="5"/>
  <c r="N113" i="5"/>
  <c r="O113" i="5" s="1"/>
  <c r="B115" i="5" l="1"/>
  <c r="L114" i="5"/>
  <c r="M114" i="5" s="1"/>
  <c r="K114" i="5"/>
  <c r="J115" i="5"/>
  <c r="N114" i="5"/>
  <c r="O114" i="5" s="1"/>
  <c r="B116" i="5" l="1"/>
  <c r="L115" i="5"/>
  <c r="M115" i="5" s="1"/>
  <c r="K115" i="5"/>
  <c r="J116" i="5"/>
  <c r="N115" i="5"/>
  <c r="O115" i="5" s="1"/>
  <c r="L116" i="5" l="1"/>
  <c r="M116" i="5" s="1"/>
  <c r="B117" i="5"/>
  <c r="J117" i="5"/>
  <c r="K116" i="5"/>
  <c r="N116" i="5"/>
  <c r="O116" i="5" s="1"/>
  <c r="B118" i="5" l="1"/>
  <c r="L117" i="5"/>
  <c r="M117" i="5" s="1"/>
  <c r="J118" i="5"/>
  <c r="K117" i="5"/>
  <c r="N117" i="5"/>
  <c r="O117" i="5" s="1"/>
  <c r="L118" i="5" l="1"/>
  <c r="M118" i="5" s="1"/>
  <c r="B119" i="5"/>
  <c r="J119" i="5"/>
  <c r="K118" i="5"/>
  <c r="N118" i="5"/>
  <c r="O118" i="5" s="1"/>
  <c r="L119" i="5" l="1"/>
  <c r="M119" i="5" s="1"/>
  <c r="B120" i="5"/>
  <c r="K119" i="5"/>
  <c r="J120" i="5"/>
  <c r="N119" i="5"/>
  <c r="O119" i="5" s="1"/>
  <c r="L120" i="5" l="1"/>
  <c r="M120" i="5" s="1"/>
  <c r="B121" i="5"/>
  <c r="J121" i="5"/>
  <c r="K120" i="5"/>
  <c r="N120" i="5"/>
  <c r="O120" i="5" s="1"/>
  <c r="B122" i="5" l="1"/>
  <c r="L121" i="5"/>
  <c r="M121" i="5" s="1"/>
  <c r="J122" i="5"/>
  <c r="K121" i="5"/>
  <c r="N121" i="5"/>
  <c r="O121" i="5" s="1"/>
  <c r="L122" i="5" l="1"/>
  <c r="B123" i="5"/>
  <c r="M122" i="5"/>
  <c r="K122" i="5"/>
  <c r="J123" i="5"/>
  <c r="N122" i="5"/>
  <c r="O122" i="5" s="1"/>
  <c r="L123" i="5" l="1"/>
  <c r="M123" i="5" s="1"/>
  <c r="B124" i="5"/>
  <c r="K123" i="5"/>
  <c r="J124" i="5"/>
  <c r="N123" i="5"/>
  <c r="O123" i="5" s="1"/>
  <c r="L124" i="5" l="1"/>
  <c r="M124" i="5" s="1"/>
  <c r="B125" i="5"/>
  <c r="K124" i="5"/>
  <c r="J125" i="5"/>
  <c r="N124" i="5"/>
  <c r="O124" i="5" s="1"/>
  <c r="L125" i="5" l="1"/>
  <c r="M125" i="5" s="1"/>
  <c r="B126" i="5"/>
  <c r="J126" i="5"/>
  <c r="K125" i="5"/>
  <c r="N125" i="5"/>
  <c r="O125" i="5" s="1"/>
  <c r="B127" i="5" l="1"/>
  <c r="L126" i="5"/>
  <c r="M126" i="5" s="1"/>
  <c r="K126" i="5"/>
  <c r="J127" i="5"/>
  <c r="N126" i="5"/>
  <c r="O126" i="5" s="1"/>
  <c r="B128" i="5" l="1"/>
  <c r="L127" i="5"/>
  <c r="M127" i="5" s="1"/>
  <c r="J128" i="5"/>
  <c r="K127" i="5"/>
  <c r="N127" i="5"/>
  <c r="O127" i="5" s="1"/>
  <c r="L128" i="5" l="1"/>
  <c r="M128" i="5" s="1"/>
  <c r="B129" i="5"/>
  <c r="J129" i="5"/>
  <c r="K128" i="5"/>
  <c r="N128" i="5"/>
  <c r="O128" i="5" s="1"/>
  <c r="B130" i="5" l="1"/>
  <c r="L129" i="5"/>
  <c r="M129" i="5" s="1"/>
  <c r="K129" i="5"/>
  <c r="J130" i="5"/>
  <c r="N129" i="5"/>
  <c r="O129" i="5" s="1"/>
  <c r="B131" i="5" l="1"/>
  <c r="L130" i="5"/>
  <c r="M130" i="5" s="1"/>
  <c r="J131" i="5"/>
  <c r="K130" i="5"/>
  <c r="N130" i="5"/>
  <c r="O130" i="5" s="1"/>
  <c r="B132" i="5" l="1"/>
  <c r="L131" i="5"/>
  <c r="M131" i="5" s="1"/>
  <c r="J132" i="5"/>
  <c r="K131" i="5"/>
  <c r="N131" i="5"/>
  <c r="O131" i="5" s="1"/>
  <c r="L132" i="5" l="1"/>
  <c r="M132" i="5" s="1"/>
  <c r="B133" i="5"/>
  <c r="J133" i="5"/>
  <c r="K132" i="5"/>
  <c r="N132" i="5"/>
  <c r="O132" i="5" s="1"/>
  <c r="B134" i="5" l="1"/>
  <c r="L133" i="5"/>
  <c r="M133" i="5" s="1"/>
  <c r="K133" i="5"/>
  <c r="J134" i="5"/>
  <c r="N133" i="5"/>
  <c r="O133" i="5" s="1"/>
  <c r="L134" i="5" l="1"/>
  <c r="M134" i="5" s="1"/>
  <c r="B135" i="5"/>
  <c r="J135" i="5"/>
  <c r="K134" i="5"/>
  <c r="N134" i="5"/>
  <c r="O134" i="5" s="1"/>
  <c r="B136" i="5" l="1"/>
  <c r="L135" i="5"/>
  <c r="M135" i="5" s="1"/>
  <c r="J136" i="5"/>
  <c r="K135" i="5"/>
  <c r="N135" i="5"/>
  <c r="O135" i="5" s="1"/>
  <c r="L136" i="5" l="1"/>
  <c r="M136" i="5" s="1"/>
  <c r="B137" i="5"/>
  <c r="K136" i="5"/>
  <c r="J137" i="5"/>
  <c r="N136" i="5"/>
  <c r="O136" i="5" s="1"/>
  <c r="B138" i="5" l="1"/>
  <c r="L137" i="5"/>
  <c r="M137" i="5" s="1"/>
  <c r="J138" i="5"/>
  <c r="K137" i="5"/>
  <c r="N137" i="5"/>
  <c r="O137" i="5" s="1"/>
  <c r="L138" i="5" l="1"/>
  <c r="M138" i="5" s="1"/>
  <c r="B139" i="5"/>
  <c r="K138" i="5"/>
  <c r="J139" i="5"/>
  <c r="N138" i="5"/>
  <c r="O138" i="5" s="1"/>
  <c r="B140" i="5" l="1"/>
  <c r="L139" i="5"/>
  <c r="M139" i="5" s="1"/>
  <c r="K139" i="5"/>
  <c r="J140" i="5"/>
  <c r="N139" i="5"/>
  <c r="O139" i="5" s="1"/>
  <c r="L140" i="5" l="1"/>
  <c r="M140" i="5" s="1"/>
  <c r="B141" i="5"/>
  <c r="K140" i="5"/>
  <c r="J141" i="5"/>
  <c r="N140" i="5"/>
  <c r="O140" i="5" s="1"/>
  <c r="B142" i="5" l="1"/>
  <c r="L141" i="5"/>
  <c r="M141" i="5" s="1"/>
  <c r="J142" i="5"/>
  <c r="K141" i="5"/>
  <c r="N141" i="5"/>
  <c r="O141" i="5" s="1"/>
  <c r="L142" i="5" l="1"/>
  <c r="M142" i="5" s="1"/>
  <c r="B143" i="5"/>
  <c r="J143" i="5"/>
  <c r="K142" i="5"/>
  <c r="N142" i="5"/>
  <c r="O142" i="5" s="1"/>
  <c r="B144" i="5" l="1"/>
  <c r="L143" i="5"/>
  <c r="M143" i="5" s="1"/>
  <c r="K143" i="5"/>
  <c r="J144" i="5"/>
  <c r="N143" i="5"/>
  <c r="O143" i="5" s="1"/>
  <c r="L144" i="5" l="1"/>
  <c r="M144" i="5" s="1"/>
  <c r="B145" i="5"/>
  <c r="K144" i="5"/>
  <c r="J145" i="5"/>
  <c r="N144" i="5"/>
  <c r="O144" i="5" s="1"/>
  <c r="L145" i="5" l="1"/>
  <c r="M145" i="5" s="1"/>
  <c r="B146" i="5"/>
  <c r="J146" i="5"/>
  <c r="K145" i="5"/>
  <c r="N145" i="5"/>
  <c r="O145" i="5" s="1"/>
  <c r="B147" i="5" l="1"/>
  <c r="L146" i="5"/>
  <c r="M146" i="5" s="1"/>
  <c r="J147" i="5"/>
  <c r="K146" i="5"/>
  <c r="N146" i="5"/>
  <c r="O146" i="5" s="1"/>
  <c r="B148" i="5" l="1"/>
  <c r="L147" i="5"/>
  <c r="M147" i="5" s="1"/>
  <c r="K147" i="5"/>
  <c r="J148" i="5"/>
  <c r="N147" i="5"/>
  <c r="O147" i="5" s="1"/>
  <c r="B149" i="5" l="1"/>
  <c r="L148" i="5"/>
  <c r="M148" i="5" s="1"/>
  <c r="J149" i="5"/>
  <c r="K148" i="5"/>
  <c r="N148" i="5"/>
  <c r="O148" i="5" s="1"/>
  <c r="L149" i="5" l="1"/>
  <c r="M149" i="5" s="1"/>
  <c r="B150" i="5"/>
  <c r="J150" i="5"/>
  <c r="K149" i="5"/>
  <c r="N149" i="5"/>
  <c r="O149" i="5" s="1"/>
  <c r="B151" i="5" l="1"/>
  <c r="L150" i="5"/>
  <c r="M150" i="5" s="1"/>
  <c r="K150" i="5"/>
  <c r="J151" i="5"/>
  <c r="N150" i="5"/>
  <c r="O150" i="5" s="1"/>
  <c r="B152" i="5" l="1"/>
  <c r="L151" i="5"/>
  <c r="M151" i="5" s="1"/>
  <c r="J152" i="5"/>
  <c r="K151" i="5"/>
  <c r="N151" i="5"/>
  <c r="O151" i="5" s="1"/>
  <c r="L152" i="5" l="1"/>
  <c r="M152" i="5" s="1"/>
  <c r="B153" i="5"/>
  <c r="K152" i="5"/>
  <c r="J153" i="5"/>
  <c r="N152" i="5"/>
  <c r="O152" i="5" s="1"/>
  <c r="B154" i="5" l="1"/>
  <c r="L153" i="5"/>
  <c r="M153" i="5" s="1"/>
  <c r="J154" i="5"/>
  <c r="K153" i="5"/>
  <c r="N153" i="5"/>
  <c r="O153" i="5" s="1"/>
  <c r="B155" i="5" l="1"/>
  <c r="L154" i="5"/>
  <c r="M154" i="5" s="1"/>
  <c r="K154" i="5"/>
  <c r="J155" i="5"/>
  <c r="N154" i="5"/>
  <c r="O154" i="5" s="1"/>
  <c r="L155" i="5" l="1"/>
  <c r="M155" i="5" s="1"/>
  <c r="B156" i="5"/>
  <c r="J156" i="5"/>
  <c r="K155" i="5"/>
  <c r="N155" i="5"/>
  <c r="O155" i="5" s="1"/>
  <c r="B157" i="5" l="1"/>
  <c r="L156" i="5"/>
  <c r="M156" i="5" s="1"/>
  <c r="K156" i="5"/>
  <c r="J157" i="5"/>
  <c r="N156" i="5"/>
  <c r="O156" i="5" s="1"/>
  <c r="L157" i="5" l="1"/>
  <c r="M157" i="5" s="1"/>
  <c r="B158" i="5"/>
  <c r="J158" i="5"/>
  <c r="K157" i="5"/>
  <c r="N157" i="5"/>
  <c r="O157" i="5" s="1"/>
  <c r="B159" i="5" l="1"/>
  <c r="L158" i="5"/>
  <c r="M158" i="5" s="1"/>
  <c r="J159" i="5"/>
  <c r="K158" i="5"/>
  <c r="N158" i="5"/>
  <c r="O158" i="5" s="1"/>
  <c r="L159" i="5" l="1"/>
  <c r="M159" i="5" s="1"/>
  <c r="B160" i="5"/>
  <c r="K159" i="5"/>
  <c r="J160" i="5"/>
  <c r="N159" i="5"/>
  <c r="O159" i="5" s="1"/>
  <c r="B161" i="5" l="1"/>
  <c r="L160" i="5"/>
  <c r="M160" i="5" s="1"/>
  <c r="J161" i="5"/>
  <c r="K160" i="5"/>
  <c r="N160" i="5"/>
  <c r="O160" i="5" s="1"/>
  <c r="B162" i="5" l="1"/>
  <c r="L161" i="5"/>
  <c r="M161" i="5" s="1"/>
  <c r="K161" i="5"/>
  <c r="J162" i="5"/>
  <c r="N161" i="5"/>
  <c r="O161" i="5" s="1"/>
  <c r="B163" i="5" l="1"/>
  <c r="L162" i="5"/>
  <c r="M162" i="5" s="1"/>
  <c r="J163" i="5"/>
  <c r="K162" i="5"/>
  <c r="N162" i="5"/>
  <c r="O162" i="5" s="1"/>
  <c r="B164" i="5" l="1"/>
  <c r="L163" i="5"/>
  <c r="M163" i="5" s="1"/>
  <c r="K163" i="5"/>
  <c r="J164" i="5"/>
  <c r="N163" i="5"/>
  <c r="O163" i="5" s="1"/>
  <c r="B165" i="5" l="1"/>
  <c r="L164" i="5"/>
  <c r="M164" i="5" s="1"/>
  <c r="J165" i="5"/>
  <c r="K164" i="5"/>
  <c r="N164" i="5"/>
  <c r="O164" i="5" s="1"/>
  <c r="L165" i="5" l="1"/>
  <c r="M165" i="5" s="1"/>
  <c r="B166" i="5"/>
  <c r="J166" i="5"/>
  <c r="K165" i="5"/>
  <c r="N165" i="5"/>
  <c r="O165" i="5" s="1"/>
  <c r="L166" i="5" l="1"/>
  <c r="M166" i="5" s="1"/>
  <c r="B167" i="5"/>
  <c r="K166" i="5"/>
  <c r="J167" i="5"/>
  <c r="N166" i="5"/>
  <c r="O166" i="5" s="1"/>
  <c r="L167" i="5" l="1"/>
  <c r="M167" i="5" s="1"/>
  <c r="B168" i="5"/>
  <c r="J168" i="5"/>
  <c r="K167" i="5"/>
  <c r="N167" i="5"/>
  <c r="O167" i="5" s="1"/>
  <c r="B169" i="5" l="1"/>
  <c r="L168" i="5"/>
  <c r="M168" i="5" s="1"/>
  <c r="K168" i="5"/>
  <c r="J169" i="5"/>
  <c r="N168" i="5"/>
  <c r="O168" i="5" s="1"/>
  <c r="L169" i="5" l="1"/>
  <c r="M169" i="5" s="1"/>
  <c r="B170" i="5"/>
  <c r="K169" i="5"/>
  <c r="J170" i="5"/>
  <c r="N169" i="5"/>
  <c r="O169" i="5" s="1"/>
  <c r="L170" i="5" l="1"/>
  <c r="M170" i="5" s="1"/>
  <c r="B171" i="5"/>
  <c r="J171" i="5"/>
  <c r="K170" i="5"/>
  <c r="N170" i="5"/>
  <c r="O170" i="5" s="1"/>
  <c r="B172" i="5" l="1"/>
  <c r="L171" i="5"/>
  <c r="M171" i="5" s="1"/>
  <c r="K171" i="5"/>
  <c r="J172" i="5"/>
  <c r="N171" i="5"/>
  <c r="O171" i="5" s="1"/>
  <c r="L172" i="5" l="1"/>
  <c r="M172" i="5" s="1"/>
  <c r="B173" i="5"/>
  <c r="K172" i="5"/>
  <c r="J173" i="5"/>
  <c r="N172" i="5"/>
  <c r="O172" i="5" s="1"/>
  <c r="L173" i="5" l="1"/>
  <c r="M173" i="5" s="1"/>
  <c r="B174" i="5"/>
  <c r="K173" i="5"/>
  <c r="J174" i="5"/>
  <c r="N173" i="5"/>
  <c r="O173" i="5" s="1"/>
  <c r="L174" i="5" l="1"/>
  <c r="M174" i="5" s="1"/>
  <c r="B175" i="5"/>
  <c r="K174" i="5"/>
  <c r="J175" i="5"/>
  <c r="N174" i="5"/>
  <c r="O174" i="5" s="1"/>
  <c r="L175" i="5" l="1"/>
  <c r="M175" i="5" s="1"/>
  <c r="B176" i="5"/>
  <c r="J176" i="5"/>
  <c r="K175" i="5"/>
  <c r="N175" i="5"/>
  <c r="O175" i="5" s="1"/>
  <c r="B177" i="5" l="1"/>
  <c r="L176" i="5"/>
  <c r="M176" i="5" s="1"/>
  <c r="K176" i="5"/>
  <c r="J177" i="5"/>
  <c r="N176" i="5"/>
  <c r="O176" i="5" s="1"/>
  <c r="B178" i="5" l="1"/>
  <c r="L177" i="5"/>
  <c r="M177" i="5" s="1"/>
  <c r="J178" i="5"/>
  <c r="K177" i="5"/>
  <c r="N177" i="5"/>
  <c r="O177" i="5" s="1"/>
  <c r="B179" i="5" l="1"/>
  <c r="L178" i="5"/>
  <c r="M178" i="5" s="1"/>
  <c r="J179" i="5"/>
  <c r="K178" i="5"/>
  <c r="N178" i="5"/>
  <c r="O178" i="5" s="1"/>
  <c r="L179" i="5" l="1"/>
  <c r="M179" i="5" s="1"/>
  <c r="B180" i="5"/>
  <c r="K179" i="5"/>
  <c r="J180" i="5"/>
  <c r="N179" i="5"/>
  <c r="O179" i="5" s="1"/>
  <c r="B181" i="5" l="1"/>
  <c r="L180" i="5"/>
  <c r="M180" i="5" s="1"/>
  <c r="J181" i="5"/>
  <c r="K180" i="5"/>
  <c r="N180" i="5"/>
  <c r="O180" i="5" s="1"/>
  <c r="L181" i="5" l="1"/>
  <c r="M181" i="5" s="1"/>
  <c r="B182" i="5"/>
  <c r="K181" i="5"/>
  <c r="J182" i="5"/>
  <c r="N181" i="5"/>
  <c r="O181" i="5" s="1"/>
  <c r="B183" i="5" l="1"/>
  <c r="L182" i="5"/>
  <c r="M182" i="5" s="1"/>
  <c r="J183" i="5"/>
  <c r="K182" i="5"/>
  <c r="N182" i="5"/>
  <c r="O182" i="5" s="1"/>
  <c r="B184" i="5" l="1"/>
  <c r="L183" i="5"/>
  <c r="M183" i="5" s="1"/>
  <c r="J184" i="5"/>
  <c r="K183" i="5"/>
  <c r="N183" i="5"/>
  <c r="O183" i="5" s="1"/>
  <c r="L184" i="5" l="1"/>
  <c r="M184" i="5" s="1"/>
  <c r="B185" i="5"/>
  <c r="J185" i="5"/>
  <c r="K184" i="5"/>
  <c r="N184" i="5"/>
  <c r="O184" i="5" s="1"/>
  <c r="B186" i="5" l="1"/>
  <c r="L185" i="5"/>
  <c r="M185" i="5" s="1"/>
  <c r="J186" i="5"/>
  <c r="K185" i="5"/>
  <c r="N185" i="5"/>
  <c r="O185" i="5" s="1"/>
  <c r="L186" i="5" l="1"/>
  <c r="M186" i="5" s="1"/>
  <c r="B187" i="5"/>
  <c r="K186" i="5"/>
  <c r="J187" i="5"/>
  <c r="N186" i="5"/>
  <c r="O186" i="5" s="1"/>
  <c r="B188" i="5" l="1"/>
  <c r="L187" i="5"/>
  <c r="M187" i="5" s="1"/>
  <c r="K187" i="5"/>
  <c r="J188" i="5"/>
  <c r="N187" i="5"/>
  <c r="O187" i="5" s="1"/>
  <c r="B189" i="5" l="1"/>
  <c r="L188" i="5"/>
  <c r="J189" i="5"/>
  <c r="K188" i="5"/>
  <c r="N188" i="5"/>
  <c r="O188" i="5" s="1"/>
  <c r="M188" i="5"/>
  <c r="L189" i="5" l="1"/>
  <c r="M189" i="5" s="1"/>
  <c r="B190" i="5"/>
  <c r="K189" i="5"/>
  <c r="J190" i="5"/>
  <c r="N189" i="5"/>
  <c r="O189" i="5" s="1"/>
  <c r="J191" i="5" l="1"/>
  <c r="K190" i="5"/>
  <c r="N190" i="5"/>
  <c r="O190" i="5" s="1"/>
  <c r="B191" i="5"/>
  <c r="L190" i="5"/>
  <c r="M190" i="5" s="1"/>
  <c r="J192" i="5" l="1"/>
  <c r="K191" i="5"/>
  <c r="N191" i="5"/>
  <c r="O191" i="5" s="1"/>
  <c r="L191" i="5"/>
  <c r="M191" i="5" s="1"/>
  <c r="B192" i="5"/>
  <c r="B193" i="5" l="1"/>
  <c r="L192" i="5"/>
  <c r="M192" i="5" s="1"/>
  <c r="K192" i="5"/>
  <c r="J193" i="5"/>
  <c r="N192" i="5"/>
  <c r="O192" i="5" s="1"/>
  <c r="L193" i="5" l="1"/>
  <c r="M193" i="5" s="1"/>
  <c r="B194" i="5"/>
  <c r="K193" i="5"/>
  <c r="J194" i="5"/>
  <c r="N193" i="5"/>
  <c r="O193" i="5" s="1"/>
  <c r="L194" i="5" l="1"/>
  <c r="M194" i="5" s="1"/>
  <c r="B195" i="5"/>
  <c r="K194" i="5"/>
  <c r="J195" i="5"/>
  <c r="N194" i="5"/>
  <c r="O194" i="5" s="1"/>
  <c r="B196" i="5" l="1"/>
  <c r="L195" i="5"/>
  <c r="M195" i="5" s="1"/>
  <c r="K195" i="5"/>
  <c r="J196" i="5"/>
  <c r="N195" i="5"/>
  <c r="O195" i="5" s="1"/>
  <c r="B197" i="5" l="1"/>
  <c r="L196" i="5"/>
  <c r="M196" i="5" s="1"/>
  <c r="J197" i="5"/>
  <c r="K196" i="5"/>
  <c r="N196" i="5"/>
  <c r="O196" i="5" s="1"/>
  <c r="B198" i="5" l="1"/>
  <c r="L197" i="5"/>
  <c r="M197" i="5" s="1"/>
  <c r="J198" i="5"/>
  <c r="K197" i="5"/>
  <c r="N197" i="5"/>
  <c r="O197" i="5" s="1"/>
  <c r="L198" i="5" l="1"/>
  <c r="M198" i="5" s="1"/>
  <c r="B199" i="5"/>
  <c r="J199" i="5"/>
  <c r="K198" i="5"/>
  <c r="N198" i="5"/>
  <c r="O198" i="5" s="1"/>
  <c r="L199" i="5" l="1"/>
  <c r="M199" i="5" s="1"/>
  <c r="B200" i="5"/>
  <c r="K199" i="5"/>
  <c r="J200" i="5"/>
  <c r="N199" i="5"/>
  <c r="O199" i="5" s="1"/>
  <c r="B201" i="5" l="1"/>
  <c r="L200" i="5"/>
  <c r="M200" i="5" s="1"/>
  <c r="J201" i="5"/>
  <c r="K200" i="5"/>
  <c r="N200" i="5"/>
  <c r="O200" i="5" s="1"/>
  <c r="B202" i="5" l="1"/>
  <c r="L201" i="5"/>
  <c r="M201" i="5" s="1"/>
  <c r="J202" i="5"/>
  <c r="K201" i="5"/>
  <c r="N201" i="5"/>
  <c r="O201" i="5" s="1"/>
  <c r="L202" i="5" l="1"/>
  <c r="M202" i="5" s="1"/>
  <c r="B203" i="5"/>
  <c r="K202" i="5"/>
  <c r="J203" i="5"/>
  <c r="N202" i="5"/>
  <c r="O202" i="5" s="1"/>
  <c r="L203" i="5" l="1"/>
  <c r="M203" i="5" s="1"/>
  <c r="B204" i="5"/>
  <c r="K203" i="5"/>
  <c r="J204" i="5"/>
  <c r="N203" i="5"/>
  <c r="O203" i="5" s="1"/>
  <c r="B205" i="5" l="1"/>
  <c r="L204" i="5"/>
  <c r="M204" i="5" s="1"/>
  <c r="K204" i="5"/>
  <c r="J205" i="5"/>
  <c r="N204" i="5"/>
  <c r="O204" i="5" s="1"/>
  <c r="L205" i="5" l="1"/>
  <c r="M205" i="5" s="1"/>
  <c r="B206" i="5"/>
  <c r="K205" i="5"/>
  <c r="J206" i="5"/>
  <c r="N205" i="5"/>
  <c r="O205" i="5" s="1"/>
  <c r="B207" i="5" l="1"/>
  <c r="L206" i="5"/>
  <c r="M206" i="5" s="1"/>
  <c r="K206" i="5"/>
  <c r="J207" i="5"/>
  <c r="N206" i="5"/>
  <c r="O206" i="5" s="1"/>
  <c r="L207" i="5" l="1"/>
  <c r="M207" i="5" s="1"/>
  <c r="B208" i="5"/>
  <c r="K207" i="5"/>
  <c r="J208" i="5"/>
  <c r="N207" i="5"/>
  <c r="O207" i="5" s="1"/>
  <c r="B209" i="5" l="1"/>
  <c r="L208" i="5"/>
  <c r="M208" i="5" s="1"/>
  <c r="J209" i="5"/>
  <c r="K208" i="5"/>
  <c r="N208" i="5"/>
  <c r="O208" i="5" s="1"/>
  <c r="L209" i="5" l="1"/>
  <c r="M209" i="5" s="1"/>
  <c r="B210" i="5"/>
  <c r="K209" i="5"/>
  <c r="J210" i="5"/>
  <c r="N209" i="5"/>
  <c r="O209" i="5" s="1"/>
  <c r="B211" i="5" l="1"/>
  <c r="L210" i="5"/>
  <c r="M210" i="5" s="1"/>
  <c r="K210" i="5"/>
  <c r="J211" i="5"/>
  <c r="N210" i="5"/>
  <c r="O210" i="5" s="1"/>
  <c r="K211" i="5" l="1"/>
  <c r="J212" i="5"/>
  <c r="N211" i="5"/>
  <c r="O211" i="5" s="1"/>
  <c r="B212" i="5"/>
  <c r="L211" i="5"/>
  <c r="M211" i="5" s="1"/>
  <c r="J213" i="5" l="1"/>
  <c r="K212" i="5"/>
  <c r="N212" i="5"/>
  <c r="O212" i="5" s="1"/>
  <c r="B213" i="5"/>
  <c r="L212" i="5"/>
  <c r="M212" i="5" s="1"/>
  <c r="J214" i="5" l="1"/>
  <c r="K213" i="5"/>
  <c r="N213" i="5"/>
  <c r="O213" i="5" s="1"/>
  <c r="L213" i="5"/>
  <c r="M213" i="5" s="1"/>
  <c r="B214" i="5"/>
  <c r="L214" i="5" l="1"/>
  <c r="M214" i="5" s="1"/>
  <c r="B215" i="5"/>
  <c r="K214" i="5"/>
  <c r="J215" i="5"/>
  <c r="N214" i="5"/>
  <c r="O214" i="5" s="1"/>
  <c r="L215" i="5" l="1"/>
  <c r="M215" i="5" s="1"/>
  <c r="B216" i="5"/>
  <c r="J216" i="5"/>
  <c r="K215" i="5"/>
  <c r="N215" i="5"/>
  <c r="O215" i="5" s="1"/>
  <c r="B217" i="5" l="1"/>
  <c r="L216" i="5"/>
  <c r="M216" i="5" s="1"/>
  <c r="K216" i="5"/>
  <c r="J217" i="5"/>
  <c r="N216" i="5"/>
  <c r="O216" i="5" s="1"/>
  <c r="B218" i="5" l="1"/>
  <c r="L217" i="5"/>
  <c r="M217" i="5" s="1"/>
  <c r="K217" i="5"/>
  <c r="J218" i="5"/>
  <c r="N217" i="5"/>
  <c r="O217" i="5" s="1"/>
  <c r="B219" i="5" l="1"/>
  <c r="L218" i="5"/>
  <c r="M218" i="5" s="1"/>
  <c r="J219" i="5"/>
  <c r="K218" i="5"/>
  <c r="N218" i="5"/>
  <c r="O218" i="5" s="1"/>
  <c r="B220" i="5" l="1"/>
  <c r="L219" i="5"/>
  <c r="M219" i="5" s="1"/>
  <c r="J220" i="5"/>
  <c r="K219" i="5"/>
  <c r="N219" i="5"/>
  <c r="O219" i="5" s="1"/>
  <c r="B221" i="5" l="1"/>
  <c r="L220" i="5"/>
  <c r="M220" i="5" s="1"/>
  <c r="J221" i="5"/>
  <c r="K220" i="5"/>
  <c r="N220" i="5"/>
  <c r="O220" i="5" s="1"/>
  <c r="B222" i="5" l="1"/>
  <c r="L221" i="5"/>
  <c r="M221" i="5" s="1"/>
  <c r="J222" i="5"/>
  <c r="K221" i="5"/>
  <c r="N221" i="5"/>
  <c r="O221" i="5" s="1"/>
  <c r="B223" i="5" l="1"/>
  <c r="L222" i="5"/>
  <c r="M222" i="5" s="1"/>
  <c r="J223" i="5"/>
  <c r="K222" i="5"/>
  <c r="N222" i="5"/>
  <c r="O222" i="5" s="1"/>
  <c r="L223" i="5" l="1"/>
  <c r="M223" i="5" s="1"/>
  <c r="B224" i="5"/>
  <c r="K223" i="5"/>
  <c r="J224" i="5"/>
  <c r="N223" i="5"/>
  <c r="O223" i="5" s="1"/>
  <c r="B225" i="5" l="1"/>
  <c r="L224" i="5"/>
  <c r="M224" i="5" s="1"/>
  <c r="J225" i="5"/>
  <c r="K224" i="5"/>
  <c r="N224" i="5"/>
  <c r="O224" i="5" s="1"/>
  <c r="L225" i="5" l="1"/>
  <c r="M225" i="5" s="1"/>
  <c r="B226" i="5"/>
  <c r="K225" i="5"/>
  <c r="J226" i="5"/>
  <c r="N225" i="5"/>
  <c r="O225" i="5" s="1"/>
  <c r="B227" i="5" l="1"/>
  <c r="L226" i="5"/>
  <c r="M226" i="5" s="1"/>
  <c r="K226" i="5"/>
  <c r="J227" i="5"/>
  <c r="N226" i="5"/>
  <c r="O226" i="5" s="1"/>
  <c r="B228" i="5" l="1"/>
  <c r="L227" i="5"/>
  <c r="M227" i="5" s="1"/>
  <c r="J228" i="5"/>
  <c r="K227" i="5"/>
  <c r="N227" i="5"/>
  <c r="O227" i="5" s="1"/>
  <c r="L228" i="5" l="1"/>
  <c r="M228" i="5" s="1"/>
  <c r="B229" i="5"/>
  <c r="K228" i="5"/>
  <c r="J229" i="5"/>
  <c r="N228" i="5"/>
  <c r="O228" i="5" s="1"/>
  <c r="B230" i="5" l="1"/>
  <c r="L229" i="5"/>
  <c r="M229" i="5" s="1"/>
  <c r="K229" i="5"/>
  <c r="J230" i="5"/>
  <c r="N229" i="5"/>
  <c r="O229" i="5" s="1"/>
  <c r="L230" i="5" l="1"/>
  <c r="M230" i="5" s="1"/>
  <c r="B231" i="5"/>
  <c r="J231" i="5"/>
  <c r="K230" i="5"/>
  <c r="N230" i="5"/>
  <c r="O230" i="5" s="1"/>
  <c r="L231" i="5" l="1"/>
  <c r="M231" i="5" s="1"/>
  <c r="B232" i="5"/>
  <c r="K231" i="5"/>
  <c r="J232" i="5"/>
  <c r="N231" i="5"/>
  <c r="O231" i="5" s="1"/>
  <c r="B233" i="5" l="1"/>
  <c r="L232" i="5"/>
  <c r="M232" i="5" s="1"/>
  <c r="J233" i="5"/>
  <c r="K232" i="5"/>
  <c r="N232" i="5"/>
  <c r="O232" i="5" s="1"/>
  <c r="L233" i="5" l="1"/>
  <c r="M233" i="5" s="1"/>
  <c r="B234" i="5"/>
  <c r="K233" i="5"/>
  <c r="J234" i="5"/>
  <c r="N233" i="5"/>
  <c r="O233" i="5" s="1"/>
  <c r="B235" i="5" l="1"/>
  <c r="L234" i="5"/>
  <c r="M234" i="5" s="1"/>
  <c r="K234" i="5"/>
  <c r="J235" i="5"/>
  <c r="N234" i="5"/>
  <c r="O234" i="5" s="1"/>
  <c r="B236" i="5" l="1"/>
  <c r="L235" i="5"/>
  <c r="M235" i="5" s="1"/>
  <c r="K235" i="5"/>
  <c r="J236" i="5"/>
  <c r="N235" i="5"/>
  <c r="O235" i="5" s="1"/>
  <c r="B237" i="5" l="1"/>
  <c r="L236" i="5"/>
  <c r="M236" i="5" s="1"/>
  <c r="J237" i="5"/>
  <c r="K236" i="5"/>
  <c r="N236" i="5"/>
  <c r="O236" i="5" s="1"/>
  <c r="B238" i="5" l="1"/>
  <c r="L237" i="5"/>
  <c r="M237" i="5" s="1"/>
  <c r="K237" i="5"/>
  <c r="J238" i="5"/>
  <c r="N237" i="5"/>
  <c r="O237" i="5" s="1"/>
  <c r="L238" i="5" l="1"/>
  <c r="M238" i="5" s="1"/>
  <c r="B239" i="5"/>
  <c r="J239" i="5"/>
  <c r="K238" i="5"/>
  <c r="N238" i="5"/>
  <c r="O238" i="5" s="1"/>
  <c r="J240" i="5" l="1"/>
  <c r="K239" i="5"/>
  <c r="N239" i="5"/>
  <c r="O239" i="5" s="1"/>
  <c r="L239" i="5"/>
  <c r="M239" i="5" s="1"/>
  <c r="B240" i="5"/>
  <c r="B241" i="5" l="1"/>
  <c r="L240" i="5"/>
  <c r="M240" i="5" s="1"/>
  <c r="K240" i="5"/>
  <c r="J241" i="5"/>
  <c r="N240" i="5"/>
  <c r="O240" i="5" s="1"/>
  <c r="L241" i="5" l="1"/>
  <c r="M241" i="5" s="1"/>
  <c r="B242" i="5"/>
  <c r="K241" i="5"/>
  <c r="J242" i="5"/>
  <c r="N241" i="5"/>
  <c r="O241" i="5" s="1"/>
  <c r="B243" i="5" l="1"/>
  <c r="L242" i="5"/>
  <c r="M242" i="5" s="1"/>
  <c r="J243" i="5"/>
  <c r="K242" i="5"/>
  <c r="N242" i="5"/>
  <c r="O242" i="5" s="1"/>
  <c r="J244" i="5" l="1"/>
  <c r="K243" i="5"/>
  <c r="N243" i="5"/>
  <c r="O243" i="5" s="1"/>
  <c r="B244" i="5"/>
  <c r="L243" i="5"/>
  <c r="M243" i="5"/>
  <c r="K244" i="5" l="1"/>
  <c r="J245" i="5"/>
  <c r="N244" i="5"/>
  <c r="O244" i="5" s="1"/>
  <c r="B245" i="5"/>
  <c r="L244" i="5"/>
  <c r="M244" i="5" s="1"/>
  <c r="J246" i="5" l="1"/>
  <c r="K245" i="5"/>
  <c r="N245" i="5"/>
  <c r="O245" i="5" s="1"/>
  <c r="B246" i="5"/>
  <c r="L245" i="5"/>
  <c r="M245" i="5" s="1"/>
  <c r="K246" i="5" l="1"/>
  <c r="J247" i="5"/>
  <c r="N246" i="5"/>
  <c r="O246" i="5" s="1"/>
  <c r="B247" i="5"/>
  <c r="L246" i="5"/>
  <c r="M246" i="5" s="1"/>
  <c r="B248" i="5" l="1"/>
  <c r="L247" i="5"/>
  <c r="M247" i="5" s="1"/>
  <c r="K247" i="5"/>
  <c r="J248" i="5"/>
  <c r="N247" i="5"/>
  <c r="O247" i="5" s="1"/>
  <c r="B249" i="5" l="1"/>
  <c r="L248" i="5"/>
  <c r="M248" i="5" s="1"/>
  <c r="J249" i="5"/>
  <c r="K248" i="5"/>
  <c r="N248" i="5"/>
  <c r="O248" i="5" s="1"/>
  <c r="B250" i="5" l="1"/>
  <c r="L249" i="5"/>
  <c r="M249" i="5" s="1"/>
  <c r="J250" i="5"/>
  <c r="K249" i="5"/>
  <c r="N249" i="5"/>
  <c r="O249" i="5" s="1"/>
  <c r="M250" i="5" l="1"/>
  <c r="B251" i="5"/>
  <c r="L250" i="5"/>
  <c r="K250" i="5"/>
  <c r="J251" i="5"/>
  <c r="N250" i="5"/>
  <c r="O250" i="5" s="1"/>
  <c r="B252" i="5" l="1"/>
  <c r="L251" i="5"/>
  <c r="M251" i="5" s="1"/>
  <c r="J252" i="5"/>
  <c r="K251" i="5"/>
  <c r="N251" i="5"/>
  <c r="O251" i="5" s="1"/>
  <c r="J253" i="5" l="1"/>
  <c r="K252" i="5"/>
  <c r="N252" i="5"/>
  <c r="O252" i="5" s="1"/>
  <c r="B253" i="5"/>
  <c r="L252" i="5"/>
  <c r="M252" i="5" s="1"/>
  <c r="K253" i="5" l="1"/>
  <c r="J254" i="5"/>
  <c r="N253" i="5"/>
  <c r="O253" i="5" s="1"/>
  <c r="L253" i="5"/>
  <c r="M253" i="5" s="1"/>
  <c r="B254" i="5"/>
  <c r="K254" i="5" l="1"/>
  <c r="J255" i="5"/>
  <c r="N254" i="5"/>
  <c r="O254" i="5" s="1"/>
  <c r="L254" i="5"/>
  <c r="M254" i="5" s="1"/>
  <c r="B255" i="5"/>
  <c r="K255" i="5" l="1"/>
  <c r="J256" i="5"/>
  <c r="N255" i="5"/>
  <c r="O255" i="5" s="1"/>
  <c r="L255" i="5"/>
  <c r="M255" i="5" s="1"/>
  <c r="B256" i="5"/>
  <c r="K256" i="5" l="1"/>
  <c r="J257" i="5"/>
  <c r="N256" i="5"/>
  <c r="O256" i="5" s="1"/>
  <c r="L256" i="5"/>
  <c r="M256" i="5" s="1"/>
  <c r="B257" i="5"/>
  <c r="J258" i="5" l="1"/>
  <c r="K257" i="5"/>
  <c r="N257" i="5"/>
  <c r="O257" i="5" s="1"/>
  <c r="L257" i="5"/>
  <c r="M257" i="5" s="1"/>
  <c r="B258" i="5"/>
  <c r="J259" i="5" l="1"/>
  <c r="K258" i="5"/>
  <c r="N258" i="5"/>
  <c r="O258" i="5" s="1"/>
  <c r="L258" i="5"/>
  <c r="M258" i="5" s="1"/>
  <c r="B259" i="5"/>
  <c r="K259" i="5" l="1"/>
  <c r="J260" i="5"/>
  <c r="N259" i="5"/>
  <c r="O259" i="5" s="1"/>
  <c r="L259" i="5"/>
  <c r="M259" i="5" s="1"/>
  <c r="B260" i="5"/>
  <c r="K260" i="5" l="1"/>
  <c r="J261" i="5"/>
  <c r="N260" i="5"/>
  <c r="O260" i="5" s="1"/>
  <c r="B261" i="5"/>
  <c r="L260" i="5"/>
  <c r="M260" i="5" s="1"/>
  <c r="B262" i="5" l="1"/>
  <c r="L261" i="5"/>
  <c r="M261" i="5" s="1"/>
  <c r="K261" i="5"/>
  <c r="J262" i="5"/>
  <c r="N261" i="5"/>
  <c r="O261" i="5" s="1"/>
  <c r="L262" i="5" l="1"/>
  <c r="M262" i="5" s="1"/>
  <c r="B263" i="5"/>
  <c r="J263" i="5"/>
  <c r="K262" i="5"/>
  <c r="N262" i="5"/>
  <c r="O262" i="5" s="1"/>
  <c r="J264" i="5" l="1"/>
  <c r="K263" i="5"/>
  <c r="N263" i="5"/>
  <c r="O263" i="5" s="1"/>
  <c r="B264" i="5"/>
  <c r="L263" i="5"/>
  <c r="M263" i="5" s="1"/>
  <c r="K264" i="5" l="1"/>
  <c r="J265" i="5"/>
  <c r="N264" i="5"/>
  <c r="O264" i="5" s="1"/>
  <c r="B265" i="5"/>
  <c r="L264" i="5"/>
  <c r="M264" i="5" s="1"/>
  <c r="J266" i="5" l="1"/>
  <c r="K265" i="5"/>
  <c r="N265" i="5"/>
  <c r="O265" i="5" s="1"/>
  <c r="B266" i="5"/>
  <c r="L265" i="5"/>
  <c r="M265" i="5" s="1"/>
  <c r="L266" i="5" l="1"/>
  <c r="M266" i="5" s="1"/>
  <c r="B267" i="5"/>
  <c r="J267" i="5"/>
  <c r="K266" i="5"/>
  <c r="N266" i="5"/>
  <c r="O266" i="5" s="1"/>
  <c r="B268" i="5" l="1"/>
  <c r="L267" i="5"/>
  <c r="M267" i="5" s="1"/>
  <c r="K267" i="5"/>
  <c r="J268" i="5"/>
  <c r="N267" i="5"/>
  <c r="O267" i="5" s="1"/>
  <c r="L268" i="5" l="1"/>
  <c r="M268" i="5" s="1"/>
  <c r="B269" i="5"/>
  <c r="J269" i="5"/>
  <c r="K268" i="5"/>
  <c r="N268" i="5"/>
  <c r="O268" i="5" s="1"/>
  <c r="B270" i="5" l="1"/>
  <c r="L269" i="5"/>
  <c r="M269" i="5" s="1"/>
  <c r="J270" i="5"/>
  <c r="K269" i="5"/>
  <c r="N269" i="5"/>
  <c r="O269" i="5" s="1"/>
  <c r="B271" i="5" l="1"/>
  <c r="L270" i="5"/>
  <c r="M270" i="5" s="1"/>
  <c r="K270" i="5"/>
  <c r="J271" i="5"/>
  <c r="N270" i="5"/>
  <c r="O270" i="5" s="1"/>
  <c r="L271" i="5" l="1"/>
  <c r="M271" i="5" s="1"/>
  <c r="B272" i="5"/>
  <c r="K271" i="5"/>
  <c r="J272" i="5"/>
  <c r="N271" i="5"/>
  <c r="O271" i="5" s="1"/>
  <c r="B273" i="5" l="1"/>
  <c r="L272" i="5"/>
  <c r="M272" i="5" s="1"/>
  <c r="K272" i="5"/>
  <c r="J273" i="5"/>
  <c r="N272" i="5"/>
  <c r="O272" i="5" s="1"/>
  <c r="L273" i="5" l="1"/>
  <c r="M273" i="5" s="1"/>
  <c r="B274" i="5"/>
  <c r="K273" i="5"/>
  <c r="J274" i="5"/>
  <c r="N273" i="5"/>
  <c r="O273" i="5" s="1"/>
  <c r="J275" i="5" l="1"/>
  <c r="K274" i="5"/>
  <c r="N274" i="5"/>
  <c r="O274" i="5" s="1"/>
  <c r="B275" i="5"/>
  <c r="L274" i="5"/>
  <c r="M274" i="5" s="1"/>
  <c r="K275" i="5" l="1"/>
  <c r="J276" i="5"/>
  <c r="N275" i="5"/>
  <c r="O275" i="5" s="1"/>
  <c r="B276" i="5"/>
  <c r="L275" i="5"/>
  <c r="M275" i="5" s="1"/>
  <c r="K276" i="5" l="1"/>
  <c r="J277" i="5"/>
  <c r="N276" i="5"/>
  <c r="O276" i="5" s="1"/>
  <c r="B277" i="5"/>
  <c r="L276" i="5"/>
  <c r="M276" i="5" s="1"/>
  <c r="K277" i="5" l="1"/>
  <c r="J278" i="5"/>
  <c r="N277" i="5"/>
  <c r="O277" i="5" s="1"/>
  <c r="L277" i="5"/>
  <c r="M277" i="5" s="1"/>
  <c r="B278" i="5"/>
  <c r="J279" i="5" l="1"/>
  <c r="K278" i="5"/>
  <c r="N278" i="5"/>
  <c r="O278" i="5" s="1"/>
  <c r="B279" i="5"/>
  <c r="L278" i="5"/>
  <c r="M278" i="5" s="1"/>
  <c r="J280" i="5" l="1"/>
  <c r="K279" i="5"/>
  <c r="N279" i="5"/>
  <c r="O279" i="5" s="1"/>
  <c r="B280" i="5"/>
  <c r="L279" i="5"/>
  <c r="M279" i="5" s="1"/>
  <c r="B281" i="5" l="1"/>
  <c r="L280" i="5"/>
  <c r="M280" i="5" s="1"/>
  <c r="J281" i="5"/>
  <c r="K280" i="5"/>
  <c r="N280" i="5"/>
  <c r="O280" i="5" s="1"/>
  <c r="L281" i="5" l="1"/>
  <c r="M281" i="5" s="1"/>
  <c r="B282" i="5"/>
  <c r="J282" i="5"/>
  <c r="K281" i="5"/>
  <c r="N281" i="5"/>
  <c r="O281" i="5" s="1"/>
  <c r="K282" i="5" l="1"/>
  <c r="J283" i="5"/>
  <c r="N282" i="5"/>
  <c r="O282" i="5" s="1"/>
  <c r="L282" i="5"/>
  <c r="M282" i="5" s="1"/>
  <c r="B283" i="5"/>
  <c r="L283" i="5" l="1"/>
  <c r="M283" i="5" s="1"/>
  <c r="B284" i="5"/>
  <c r="J284" i="5"/>
  <c r="K283" i="5"/>
  <c r="N283" i="5"/>
  <c r="O283" i="5" s="1"/>
  <c r="B285" i="5" l="1"/>
  <c r="L284" i="5"/>
  <c r="M284" i="5" s="1"/>
  <c r="K284" i="5"/>
  <c r="J285" i="5"/>
  <c r="N284" i="5"/>
  <c r="O284" i="5" s="1"/>
  <c r="B286" i="5" l="1"/>
  <c r="L285" i="5"/>
  <c r="M285" i="5" s="1"/>
  <c r="K285" i="5"/>
  <c r="J286" i="5"/>
  <c r="N285" i="5"/>
  <c r="O285" i="5" s="1"/>
  <c r="B287" i="5" l="1"/>
  <c r="L286" i="5"/>
  <c r="J287" i="5"/>
  <c r="K286" i="5"/>
  <c r="N286" i="5"/>
  <c r="O286" i="5" s="1"/>
  <c r="M286" i="5"/>
  <c r="B288" i="5" l="1"/>
  <c r="L287" i="5"/>
  <c r="M287" i="5" s="1"/>
  <c r="J288" i="5"/>
  <c r="K287" i="5"/>
  <c r="N287" i="5"/>
  <c r="O287" i="5" s="1"/>
  <c r="L288" i="5" l="1"/>
  <c r="M288" i="5" s="1"/>
  <c r="B289" i="5"/>
  <c r="J289" i="5"/>
  <c r="K288" i="5"/>
  <c r="N288" i="5"/>
  <c r="O288" i="5" s="1"/>
  <c r="L289" i="5" l="1"/>
  <c r="M289" i="5" s="1"/>
  <c r="B290" i="5"/>
  <c r="K289" i="5"/>
  <c r="J290" i="5"/>
  <c r="N289" i="5"/>
  <c r="O289" i="5" s="1"/>
  <c r="J291" i="5" l="1"/>
  <c r="K290" i="5"/>
  <c r="N290" i="5"/>
  <c r="O290" i="5" s="1"/>
  <c r="B291" i="5"/>
  <c r="L290" i="5"/>
  <c r="M290" i="5" s="1"/>
  <c r="K291" i="5" l="1"/>
  <c r="J292" i="5"/>
  <c r="N291" i="5"/>
  <c r="O291" i="5" s="1"/>
  <c r="B292" i="5"/>
  <c r="L291" i="5"/>
  <c r="M291" i="5" s="1"/>
  <c r="B293" i="5" l="1"/>
  <c r="L292" i="5"/>
  <c r="M292" i="5" s="1"/>
  <c r="J293" i="5"/>
  <c r="K292" i="5"/>
  <c r="N292" i="5"/>
  <c r="O292" i="5" s="1"/>
  <c r="B294" i="5" l="1"/>
  <c r="L293" i="5"/>
  <c r="M293" i="5" s="1"/>
  <c r="K293" i="5"/>
  <c r="J294" i="5"/>
  <c r="N293" i="5"/>
  <c r="O293" i="5" s="1"/>
  <c r="L294" i="5" l="1"/>
  <c r="B295" i="5"/>
  <c r="J295" i="5"/>
  <c r="K294" i="5"/>
  <c r="N294" i="5"/>
  <c r="O294" i="5" s="1"/>
  <c r="M294" i="5"/>
  <c r="B296" i="5" l="1"/>
  <c r="L295" i="5"/>
  <c r="M295" i="5" s="1"/>
  <c r="J296" i="5"/>
  <c r="K295" i="5"/>
  <c r="N295" i="5"/>
  <c r="O295" i="5" s="1"/>
  <c r="B297" i="5" l="1"/>
  <c r="L296" i="5"/>
  <c r="M296" i="5" s="1"/>
  <c r="J297" i="5"/>
  <c r="K296" i="5"/>
  <c r="N296" i="5"/>
  <c r="O296" i="5" s="1"/>
  <c r="B298" i="5" l="1"/>
  <c r="L297" i="5"/>
  <c r="M297" i="5" s="1"/>
  <c r="J298" i="5"/>
  <c r="K297" i="5"/>
  <c r="N297" i="5"/>
  <c r="O297" i="5" s="1"/>
  <c r="L298" i="5" l="1"/>
  <c r="B299" i="5"/>
  <c r="J299" i="5"/>
  <c r="K298" i="5"/>
  <c r="N298" i="5"/>
  <c r="O298" i="5" s="1"/>
  <c r="M298" i="5"/>
  <c r="B300" i="5" l="1"/>
  <c r="L299" i="5"/>
  <c r="M299" i="5" s="1"/>
  <c r="K299" i="5"/>
  <c r="J300" i="5"/>
  <c r="N299" i="5"/>
  <c r="O299" i="5" s="1"/>
  <c r="B301" i="5" l="1"/>
  <c r="L300" i="5"/>
  <c r="J301" i="5"/>
  <c r="K300" i="5"/>
  <c r="N300" i="5"/>
  <c r="O300" i="5" s="1"/>
  <c r="M300" i="5"/>
  <c r="B302" i="5" l="1"/>
  <c r="L301" i="5"/>
  <c r="M301" i="5" s="1"/>
  <c r="K301" i="5"/>
  <c r="J302" i="5"/>
  <c r="N301" i="5"/>
  <c r="O301" i="5" s="1"/>
  <c r="L302" i="5" l="1"/>
  <c r="M302" i="5" s="1"/>
  <c r="B303" i="5"/>
  <c r="J303" i="5"/>
  <c r="K302" i="5"/>
  <c r="N302" i="5"/>
  <c r="O302" i="5" s="1"/>
  <c r="J304" i="5" l="1"/>
  <c r="K303" i="5"/>
  <c r="N303" i="5"/>
  <c r="O303" i="5" s="1"/>
  <c r="L303" i="5"/>
  <c r="M303" i="5" s="1"/>
  <c r="B304" i="5"/>
  <c r="B305" i="5" l="1"/>
  <c r="L304" i="5"/>
  <c r="M304" i="5" s="1"/>
  <c r="K304" i="5"/>
  <c r="J305" i="5"/>
  <c r="N304" i="5"/>
  <c r="O304" i="5" s="1"/>
  <c r="L305" i="5" l="1"/>
  <c r="M305" i="5" s="1"/>
  <c r="B306" i="5"/>
  <c r="K305" i="5"/>
  <c r="J306" i="5"/>
  <c r="N305" i="5"/>
  <c r="O305" i="5" s="1"/>
  <c r="L306" i="5" l="1"/>
  <c r="M306" i="5" s="1"/>
  <c r="B307" i="5"/>
  <c r="J307" i="5"/>
  <c r="K306" i="5"/>
  <c r="N306" i="5"/>
  <c r="O306" i="5" s="1"/>
  <c r="L307" i="5" l="1"/>
  <c r="M307" i="5" s="1"/>
  <c r="B308" i="5"/>
  <c r="K307" i="5"/>
  <c r="J308" i="5"/>
  <c r="N307" i="5"/>
  <c r="O307" i="5" s="1"/>
  <c r="L308" i="5" l="1"/>
  <c r="M308" i="5" s="1"/>
  <c r="B309" i="5"/>
  <c r="J309" i="5"/>
  <c r="K308" i="5"/>
  <c r="N308" i="5"/>
  <c r="O308" i="5" s="1"/>
  <c r="B310" i="5" l="1"/>
  <c r="L309" i="5"/>
  <c r="M309" i="5" s="1"/>
  <c r="J310" i="5"/>
  <c r="K309" i="5"/>
  <c r="N309" i="5"/>
  <c r="O309" i="5" s="1"/>
  <c r="L310" i="5" l="1"/>
  <c r="M310" i="5" s="1"/>
  <c r="B311" i="5"/>
  <c r="J311" i="5"/>
  <c r="K310" i="5"/>
  <c r="N310" i="5"/>
  <c r="O310" i="5" s="1"/>
  <c r="B312" i="5" l="1"/>
  <c r="L311" i="5"/>
  <c r="M311" i="5" s="1"/>
  <c r="J312" i="5"/>
  <c r="K311" i="5"/>
  <c r="N311" i="5"/>
  <c r="O311" i="5" s="1"/>
  <c r="K312" i="5" l="1"/>
  <c r="J313" i="5"/>
  <c r="N312" i="5"/>
  <c r="O312" i="5" s="1"/>
  <c r="B313" i="5"/>
  <c r="L312" i="5"/>
  <c r="M312" i="5" s="1"/>
  <c r="K313" i="5" l="1"/>
  <c r="J314" i="5"/>
  <c r="N313" i="5"/>
  <c r="O313" i="5" s="1"/>
  <c r="L313" i="5"/>
  <c r="M313" i="5" s="1"/>
  <c r="B314" i="5"/>
  <c r="L314" i="5" l="1"/>
  <c r="M314" i="5" s="1"/>
  <c r="B315" i="5"/>
  <c r="K314" i="5"/>
  <c r="J315" i="5"/>
  <c r="N314" i="5"/>
  <c r="O314" i="5" s="1"/>
  <c r="B316" i="5" l="1"/>
  <c r="L315" i="5"/>
  <c r="M315" i="5" s="1"/>
  <c r="K315" i="5"/>
  <c r="J316" i="5"/>
  <c r="N315" i="5"/>
  <c r="O315" i="5" s="1"/>
  <c r="L316" i="5" l="1"/>
  <c r="M316" i="5" s="1"/>
  <c r="B317" i="5"/>
  <c r="K316" i="5"/>
  <c r="J317" i="5"/>
  <c r="N316" i="5"/>
  <c r="O316" i="5" s="1"/>
  <c r="L317" i="5" l="1"/>
  <c r="M317" i="5" s="1"/>
  <c r="B318" i="5"/>
  <c r="J318" i="5"/>
  <c r="K317" i="5"/>
  <c r="N317" i="5"/>
  <c r="O317" i="5" s="1"/>
  <c r="L318" i="5" l="1"/>
  <c r="M318" i="5" s="1"/>
  <c r="B319" i="5"/>
  <c r="J319" i="5"/>
  <c r="K318" i="5"/>
  <c r="N318" i="5"/>
  <c r="O318" i="5" s="1"/>
  <c r="L319" i="5" l="1"/>
  <c r="M319" i="5" s="1"/>
  <c r="B320" i="5"/>
  <c r="K319" i="5"/>
  <c r="J320" i="5"/>
  <c r="N319" i="5"/>
  <c r="O319" i="5" s="1"/>
  <c r="B321" i="5" l="1"/>
  <c r="L320" i="5"/>
  <c r="M320" i="5" s="1"/>
  <c r="K320" i="5"/>
  <c r="J321" i="5"/>
  <c r="N320" i="5"/>
  <c r="O320" i="5" s="1"/>
  <c r="L321" i="5" l="1"/>
  <c r="M321" i="5" s="1"/>
  <c r="B322" i="5"/>
  <c r="J322" i="5"/>
  <c r="K321" i="5"/>
  <c r="N321" i="5"/>
  <c r="O321" i="5" s="1"/>
  <c r="B323" i="5" l="1"/>
  <c r="L322" i="5"/>
  <c r="M322" i="5" s="1"/>
  <c r="J323" i="5"/>
  <c r="K322" i="5"/>
  <c r="N322" i="5"/>
  <c r="O322" i="5" s="1"/>
  <c r="L323" i="5" l="1"/>
  <c r="M323" i="5" s="1"/>
  <c r="B324" i="5"/>
  <c r="K323" i="5"/>
  <c r="J324" i="5"/>
  <c r="N323" i="5"/>
  <c r="O323" i="5" s="1"/>
  <c r="B325" i="5" l="1"/>
  <c r="L324" i="5"/>
  <c r="M324" i="5" s="1"/>
  <c r="K324" i="5"/>
  <c r="J325" i="5"/>
  <c r="N324" i="5"/>
  <c r="O324" i="5" s="1"/>
  <c r="B326" i="5" l="1"/>
  <c r="L325" i="5"/>
  <c r="M325" i="5" s="1"/>
  <c r="K325" i="5"/>
  <c r="J326" i="5"/>
  <c r="N325" i="5"/>
  <c r="O325" i="5" s="1"/>
  <c r="L326" i="5" l="1"/>
  <c r="M326" i="5" s="1"/>
  <c r="B327" i="5"/>
  <c r="K326" i="5"/>
  <c r="J327" i="5"/>
  <c r="N326" i="5"/>
  <c r="O326" i="5" s="1"/>
  <c r="B328" i="5" l="1"/>
  <c r="L327" i="5"/>
  <c r="M327" i="5" s="1"/>
  <c r="J328" i="5"/>
  <c r="K327" i="5"/>
  <c r="N327" i="5"/>
  <c r="O327" i="5" s="1"/>
  <c r="B329" i="5" l="1"/>
  <c r="L328" i="5"/>
  <c r="M328" i="5" s="1"/>
  <c r="J329" i="5"/>
  <c r="K328" i="5"/>
  <c r="N328" i="5"/>
  <c r="O328" i="5" s="1"/>
  <c r="B330" i="5" l="1"/>
  <c r="L329" i="5"/>
  <c r="M329" i="5" s="1"/>
  <c r="K329" i="5"/>
  <c r="J330" i="5"/>
  <c r="N329" i="5"/>
  <c r="O329" i="5" s="1"/>
  <c r="J331" i="5" l="1"/>
  <c r="K330" i="5"/>
  <c r="N330" i="5"/>
  <c r="O330" i="5" s="1"/>
  <c r="B331" i="5"/>
  <c r="L330" i="5"/>
  <c r="M330" i="5" s="1"/>
  <c r="K331" i="5" l="1"/>
  <c r="J332" i="5"/>
  <c r="N331" i="5"/>
  <c r="O331" i="5" s="1"/>
  <c r="L331" i="5"/>
  <c r="M331" i="5" s="1"/>
  <c r="B332" i="5"/>
  <c r="J333" i="5" l="1"/>
  <c r="K332" i="5"/>
  <c r="N332" i="5"/>
  <c r="O332" i="5" s="1"/>
  <c r="B333" i="5"/>
  <c r="L332" i="5"/>
  <c r="M332" i="5" s="1"/>
  <c r="B334" i="5" l="1"/>
  <c r="L333" i="5"/>
  <c r="M333" i="5" s="1"/>
  <c r="J334" i="5"/>
  <c r="K333" i="5"/>
  <c r="N333" i="5"/>
  <c r="O333" i="5"/>
  <c r="J335" i="5" l="1"/>
  <c r="K334" i="5"/>
  <c r="N334" i="5"/>
  <c r="O334" i="5" s="1"/>
  <c r="B335" i="5"/>
  <c r="L334" i="5"/>
  <c r="M334" i="5" s="1"/>
  <c r="L335" i="5" l="1"/>
  <c r="B336" i="5"/>
  <c r="K335" i="5"/>
  <c r="J336" i="5"/>
  <c r="N335" i="5"/>
  <c r="O335" i="5" s="1"/>
  <c r="M335" i="5"/>
  <c r="K336" i="5" l="1"/>
  <c r="J337" i="5"/>
  <c r="N336" i="5"/>
  <c r="O336" i="5" s="1"/>
  <c r="B337" i="5"/>
  <c r="L336" i="5"/>
  <c r="M336" i="5" s="1"/>
  <c r="L337" i="5" l="1"/>
  <c r="M337" i="5" s="1"/>
  <c r="B338" i="5"/>
  <c r="K337" i="5"/>
  <c r="J338" i="5"/>
  <c r="N337" i="5"/>
  <c r="O337" i="5" s="1"/>
  <c r="L338" i="5" l="1"/>
  <c r="M338" i="5" s="1"/>
  <c r="B339" i="5"/>
  <c r="J339" i="5"/>
  <c r="K338" i="5"/>
  <c r="N338" i="5"/>
  <c r="O338" i="5" s="1"/>
  <c r="L339" i="5" l="1"/>
  <c r="M339" i="5" s="1"/>
  <c r="B340" i="5"/>
  <c r="J340" i="5"/>
  <c r="K339" i="5"/>
  <c r="N339" i="5"/>
  <c r="O339" i="5" s="1"/>
  <c r="B341" i="5" l="1"/>
  <c r="L340" i="5"/>
  <c r="M340" i="5" s="1"/>
  <c r="K340" i="5"/>
  <c r="J341" i="5"/>
  <c r="N340" i="5"/>
  <c r="O340" i="5" s="1"/>
  <c r="L341" i="5" l="1"/>
  <c r="M341" i="5" s="1"/>
  <c r="B342" i="5"/>
  <c r="K341" i="5"/>
  <c r="J342" i="5"/>
  <c r="N341" i="5"/>
  <c r="O341" i="5" s="1"/>
  <c r="B343" i="5" l="1"/>
  <c r="L342" i="5"/>
  <c r="M342" i="5" s="1"/>
  <c r="J343" i="5"/>
  <c r="K342" i="5"/>
  <c r="N342" i="5"/>
  <c r="O342" i="5" s="1"/>
  <c r="L343" i="5" l="1"/>
  <c r="M343" i="5" s="1"/>
  <c r="B344" i="5"/>
  <c r="J344" i="5"/>
  <c r="K343" i="5"/>
  <c r="N343" i="5"/>
  <c r="O343" i="5" s="1"/>
  <c r="B345" i="5" l="1"/>
  <c r="L344" i="5"/>
  <c r="M344" i="5" s="1"/>
  <c r="K344" i="5"/>
  <c r="J345" i="5"/>
  <c r="N344" i="5"/>
  <c r="O344" i="5" s="1"/>
  <c r="L345" i="5" l="1"/>
  <c r="M345" i="5" s="1"/>
  <c r="B346" i="5"/>
  <c r="K345" i="5"/>
  <c r="J346" i="5"/>
  <c r="N345" i="5"/>
  <c r="O345" i="5" s="1"/>
  <c r="L346" i="5" l="1"/>
  <c r="M346" i="5" s="1"/>
  <c r="B347" i="5"/>
  <c r="J347" i="5"/>
  <c r="K346" i="5"/>
  <c r="N346" i="5"/>
  <c r="O346" i="5" s="1"/>
  <c r="L347" i="5" l="1"/>
  <c r="M347" i="5" s="1"/>
  <c r="B348" i="5"/>
  <c r="J348" i="5"/>
  <c r="K347" i="5"/>
  <c r="N347" i="5"/>
  <c r="O347" i="5" s="1"/>
  <c r="L348" i="5" l="1"/>
  <c r="M348" i="5" s="1"/>
  <c r="B349" i="5"/>
  <c r="J349" i="5"/>
  <c r="K348" i="5"/>
  <c r="N348" i="5"/>
  <c r="O348" i="5" s="1"/>
  <c r="L349" i="5" l="1"/>
  <c r="M349" i="5" s="1"/>
  <c r="B350" i="5"/>
  <c r="K349" i="5"/>
  <c r="J350" i="5"/>
  <c r="N349" i="5"/>
  <c r="O349" i="5" s="1"/>
  <c r="B351" i="5" l="1"/>
  <c r="L350" i="5"/>
  <c r="M350" i="5" s="1"/>
  <c r="K350" i="5"/>
  <c r="J351" i="5"/>
  <c r="N350" i="5"/>
  <c r="O350" i="5" s="1"/>
  <c r="B352" i="5" l="1"/>
  <c r="L351" i="5"/>
  <c r="M351" i="5" s="1"/>
  <c r="J352" i="5"/>
  <c r="K351" i="5"/>
  <c r="N351" i="5"/>
  <c r="O351" i="5" s="1"/>
  <c r="B353" i="5" l="1"/>
  <c r="L352" i="5"/>
  <c r="M352" i="5" s="1"/>
  <c r="K352" i="5"/>
  <c r="J353" i="5"/>
  <c r="N352" i="5"/>
  <c r="O352" i="5" s="1"/>
  <c r="J354" i="5" l="1"/>
  <c r="K353" i="5"/>
  <c r="N353" i="5"/>
  <c r="O353" i="5" s="1"/>
  <c r="L353" i="5"/>
  <c r="M353" i="5" s="1"/>
  <c r="B354" i="5"/>
  <c r="L354" i="5" l="1"/>
  <c r="M354" i="5" s="1"/>
  <c r="B355" i="5"/>
  <c r="J355" i="5"/>
  <c r="K354" i="5"/>
  <c r="N354" i="5"/>
  <c r="O354" i="5" s="1"/>
  <c r="J356" i="5" l="1"/>
  <c r="K355" i="5"/>
  <c r="N355" i="5"/>
  <c r="O355" i="5" s="1"/>
  <c r="B356" i="5"/>
  <c r="L355" i="5"/>
  <c r="M355" i="5" s="1"/>
  <c r="B357" i="5" l="1"/>
  <c r="L356" i="5"/>
  <c r="M356" i="5" s="1"/>
  <c r="J357" i="5"/>
  <c r="K356" i="5"/>
  <c r="N356" i="5"/>
  <c r="O356" i="5" s="1"/>
  <c r="L357" i="5" l="1"/>
  <c r="M357" i="5" s="1"/>
  <c r="B358" i="5"/>
  <c r="K357" i="5"/>
  <c r="J358" i="5"/>
  <c r="N357" i="5"/>
  <c r="O357" i="5" s="1"/>
  <c r="B359" i="5" l="1"/>
  <c r="L358" i="5"/>
  <c r="M358" i="5" s="1"/>
  <c r="J359" i="5"/>
  <c r="K358" i="5"/>
  <c r="N358" i="5"/>
  <c r="O358" i="5" s="1"/>
  <c r="L359" i="5" l="1"/>
  <c r="M359" i="5" s="1"/>
  <c r="B360" i="5"/>
  <c r="K359" i="5"/>
  <c r="J360" i="5"/>
  <c r="N359" i="5"/>
  <c r="O359" i="5" s="1"/>
  <c r="L360" i="5" l="1"/>
  <c r="M360" i="5" s="1"/>
  <c r="B361" i="5"/>
  <c r="J361" i="5"/>
  <c r="K360" i="5"/>
  <c r="N360" i="5"/>
  <c r="O360" i="5" s="1"/>
  <c r="B362" i="5" l="1"/>
  <c r="L361" i="5"/>
  <c r="M361" i="5" s="1"/>
  <c r="J362" i="5"/>
  <c r="K361" i="5"/>
  <c r="N361" i="5"/>
  <c r="O361" i="5" s="1"/>
  <c r="K362" i="5" l="1"/>
  <c r="J363" i="5"/>
  <c r="N362" i="5"/>
  <c r="O362" i="5" s="1"/>
  <c r="B363" i="5"/>
  <c r="L362" i="5"/>
  <c r="M362" i="5" s="1"/>
  <c r="K363" i="5" l="1"/>
  <c r="J364" i="5"/>
  <c r="N363" i="5"/>
  <c r="O363" i="5" s="1"/>
  <c r="L363" i="5"/>
  <c r="M363" i="5" s="1"/>
  <c r="B364" i="5"/>
  <c r="L364" i="5" l="1"/>
  <c r="L366" i="5" s="1"/>
  <c r="B366" i="5"/>
  <c r="K364" i="5"/>
  <c r="K366" i="5" s="1"/>
  <c r="N364" i="5"/>
  <c r="N366" i="5" s="1"/>
  <c r="J366" i="5"/>
  <c r="O364" i="5" l="1"/>
  <c r="O366" i="5" s="1"/>
  <c r="M364" i="5"/>
  <c r="M366" i="5" s="1"/>
</calcChain>
</file>

<file path=xl/sharedStrings.xml><?xml version="1.0" encoding="utf-8"?>
<sst xmlns="http://schemas.openxmlformats.org/spreadsheetml/2006/main" count="383" uniqueCount="214">
  <si>
    <t>Address</t>
  </si>
  <si>
    <t>1234 Sample Rd</t>
  </si>
  <si>
    <t>INSTRUCTIONS</t>
  </si>
  <si>
    <t>Section 8 Monthly Rent</t>
  </si>
  <si>
    <t>Make sure to save a copy of this file on your computer before you make changes.</t>
  </si>
  <si>
    <t>Rehab Costs</t>
  </si>
  <si>
    <t>Low</t>
  </si>
  <si>
    <t>Rehab Level</t>
  </si>
  <si>
    <r>
      <t xml:space="preserve">You can change the values of the following </t>
    </r>
    <r>
      <rPr>
        <b/>
        <u/>
        <sz val="10"/>
        <color rgb="FF000000"/>
        <rFont val="Tahoma"/>
        <family val="2"/>
      </rPr>
      <t>yellow</t>
    </r>
    <r>
      <rPr>
        <sz val="10"/>
        <color indexed="8"/>
        <rFont val="Tahoma"/>
        <family val="2"/>
      </rPr>
      <t xml:space="preserve"> cells:</t>
    </r>
  </si>
  <si>
    <t>Rehab Time (months)</t>
  </si>
  <si>
    <t>Purchase Price</t>
  </si>
  <si>
    <r>
      <t xml:space="preserve"> - Select cell </t>
    </r>
    <r>
      <rPr>
        <b/>
        <u/>
        <sz val="10"/>
        <color rgb="FF000000"/>
        <rFont val="Tahoma"/>
        <family val="2"/>
      </rPr>
      <t>C3</t>
    </r>
    <r>
      <rPr>
        <sz val="10"/>
        <color indexed="8"/>
        <rFont val="Tahoma"/>
        <family val="2"/>
      </rPr>
      <t xml:space="preserve"> and choose one of the drop down options for Rehab Level</t>
    </r>
  </si>
  <si>
    <t>Price to Retail Investor</t>
  </si>
  <si>
    <t>Deal or No Deal?</t>
  </si>
  <si>
    <t>Annual Gross Rent</t>
  </si>
  <si>
    <t>Annual Cash Expenses before Taxes, Depreciation, Reserves and Finance Costs</t>
  </si>
  <si>
    <t>Net Operating Income (NOI)</t>
  </si>
  <si>
    <t>Net Operating Income including Reserves set aside</t>
  </si>
  <si>
    <t>Cap rate (traditional calculation)</t>
  </si>
  <si>
    <t>Cap Rate includes reserve set aside</t>
  </si>
  <si>
    <t>Details</t>
  </si>
  <si>
    <t>Bedrooms</t>
  </si>
  <si>
    <t>Bathrooms</t>
  </si>
  <si>
    <t>Square Feet</t>
  </si>
  <si>
    <t>Basement (Yes/No)</t>
  </si>
  <si>
    <t>Yes</t>
  </si>
  <si>
    <t>Lot Size</t>
  </si>
  <si>
    <t>Year Built</t>
  </si>
  <si>
    <t>Stories</t>
  </si>
  <si>
    <t>Acquisition and Redevelopment (purchase, rehab &amp; flip)</t>
  </si>
  <si>
    <t>Total Costs</t>
  </si>
  <si>
    <t>Purchase Cost:</t>
  </si>
  <si>
    <t>Rehab Cost:</t>
  </si>
  <si>
    <t>Financing Costs:</t>
  </si>
  <si>
    <t>Closing Costs:</t>
  </si>
  <si>
    <t>Other Costs:</t>
  </si>
  <si>
    <t>Total Costs:</t>
  </si>
  <si>
    <t>Funding Sources</t>
  </si>
  <si>
    <t>LTV to purchase price</t>
  </si>
  <si>
    <t>LTV to ARV</t>
  </si>
  <si>
    <t>1st Mortgage (Promissory Notes, 1st position):</t>
  </si>
  <si>
    <t>2nd Mortgage (Promissory Notes, 2nd position):</t>
  </si>
  <si>
    <t>Cash Required to Purchase (Equity Flip Investor):</t>
  </si>
  <si>
    <t>Total Funding Sources:</t>
  </si>
  <si>
    <t>Equity Flip Investor Cash on Cash ROI</t>
  </si>
  <si>
    <t>Long Term Capital Invesment (buy, hold &amp; rent)</t>
  </si>
  <si>
    <t>Tenant Acquisition Costs:</t>
  </si>
  <si>
    <t>Reserves:</t>
  </si>
  <si>
    <t>Assumption Costs:</t>
  </si>
  <si>
    <t>1st Mortage (DT 1st position)</t>
  </si>
  <si>
    <t>2nd Mortgage (DT 2nd position)</t>
  </si>
  <si>
    <t>Cash Required to Purchase (Equity Buy and Hold Investor)</t>
  </si>
  <si>
    <t>Annual Cash on Cash ROI</t>
  </si>
  <si>
    <t>Assumptions</t>
  </si>
  <si>
    <t xml:space="preserve"> - Price to Retail Investor based on 10% cap rate for investor</t>
  </si>
  <si>
    <t xml:space="preserve"> - Rehab based on seller's initial estimate</t>
  </si>
  <si>
    <t xml:space="preserve"> - Rent based on current median Section 8 rent</t>
  </si>
  <si>
    <t>Current After Repair Value (ARV):</t>
  </si>
  <si>
    <t>($40K Minimum)</t>
  </si>
  <si>
    <t>Property address:</t>
  </si>
  <si>
    <t>Rehab Costs:</t>
  </si>
  <si>
    <t>% of ARV</t>
  </si>
  <si>
    <t>Property Owner:</t>
  </si>
  <si>
    <t>Maximum Purchase Price:</t>
  </si>
  <si>
    <t>Discount</t>
  </si>
  <si>
    <t>APN:</t>
  </si>
  <si>
    <t>Current Offer Price:</t>
  </si>
  <si>
    <t>Use:</t>
  </si>
  <si>
    <t>Down Payment:</t>
  </si>
  <si>
    <t>Description:</t>
  </si>
  <si>
    <t>Square feet</t>
  </si>
  <si>
    <t>Wholesale Fee:</t>
  </si>
  <si>
    <t>1st Mortgage Loan Amount:</t>
  </si>
  <si>
    <t>No</t>
  </si>
  <si>
    <t>Notes:</t>
  </si>
  <si>
    <t>1st Mortgage Interest Rate:</t>
  </si>
  <si>
    <t>30 year amortized</t>
  </si>
  <si>
    <t>1st Mortgage Term (years):</t>
  </si>
  <si>
    <t>1st Mortgage PMI Points:</t>
  </si>
  <si>
    <t>N/A</t>
  </si>
  <si>
    <t>1st Mortgage Upfront Points:</t>
  </si>
  <si>
    <t>Property Inspection:</t>
  </si>
  <si>
    <t>Appraisal:</t>
  </si>
  <si>
    <t>Upfront Out of Pocket Costs:</t>
  </si>
  <si>
    <t>Title Insurance:</t>
  </si>
  <si>
    <t>Escrow Fees:</t>
  </si>
  <si>
    <t>Misc Fees:</t>
  </si>
  <si>
    <t>Management Fee:</t>
  </si>
  <si>
    <t>of Purchase Price</t>
  </si>
  <si>
    <t>Prepaid Insurance:</t>
  </si>
  <si>
    <t>months</t>
  </si>
  <si>
    <t>Buyer's Property Taxes:</t>
  </si>
  <si>
    <t>Current Year Taxes</t>
  </si>
  <si>
    <t>Prepaid Interest:</t>
  </si>
  <si>
    <t>Day of the month that we close</t>
  </si>
  <si>
    <t>1st Mortgage Payment (PI):</t>
  </si>
  <si>
    <t>Annual Insurance:</t>
  </si>
  <si>
    <t>of initial property value</t>
  </si>
  <si>
    <t>Private Mortgage Insurance:</t>
  </si>
  <si>
    <t>of initial loan amount</t>
  </si>
  <si>
    <t>Annual Property Tax:</t>
  </si>
  <si>
    <t>of initial purchase price</t>
  </si>
  <si>
    <t>2nd Mortgage Loan Amount:</t>
  </si>
  <si>
    <t>Rehab Costs, Down Payment, Wholesale Fee and Closing Costs</t>
  </si>
  <si>
    <t>2nd Mortgage Upfront Points:</t>
  </si>
  <si>
    <t>2nd Mortgage Interest Rate:</t>
  </si>
  <si>
    <t>Interest Only</t>
  </si>
  <si>
    <t>2nd Mortgage Payment:</t>
  </si>
  <si>
    <t>Holding Costs:</t>
  </si>
  <si>
    <t># of months</t>
  </si>
  <si>
    <t>Tentant Acquisition Cost:</t>
  </si>
  <si>
    <t>Total Investment:</t>
  </si>
  <si>
    <t>of total investment cost</t>
  </si>
  <si>
    <t>Management/Realtor Sales Fee:</t>
  </si>
  <si>
    <t>Percent of Sale Price</t>
  </si>
  <si>
    <t>Preferred ROI:</t>
  </si>
  <si>
    <t>ROI as a % of Total Investment</t>
  </si>
  <si>
    <t>Investor Referral Fee:</t>
  </si>
  <si>
    <t>Percent of Preferred ROI</t>
  </si>
  <si>
    <t>Early Loan Pay Off Cost:</t>
  </si>
  <si>
    <t>Months of unpaid interest</t>
  </si>
  <si>
    <t>Minimum Sales Price:</t>
  </si>
  <si>
    <t>Green means good deal!</t>
  </si>
  <si>
    <t>Target Sales Price</t>
  </si>
  <si>
    <t xml:space="preserve"> - Less Total Costs:</t>
  </si>
  <si>
    <t xml:space="preserve"> - Less Management/Realtor Sales Fee:</t>
  </si>
  <si>
    <t xml:space="preserve"> - Less Investor Referral Fee:</t>
  </si>
  <si>
    <t xml:space="preserve"> - Less early Loan Pay Off Cost:</t>
  </si>
  <si>
    <t>- Less Profit Split over Preferred ROI:</t>
  </si>
  <si>
    <t>Total ROI:</t>
  </si>
  <si>
    <t>Cash-on-Cash ROI:</t>
  </si>
  <si>
    <t>Annualized ROI:</t>
  </si>
  <si>
    <t>Gross Profit</t>
  </si>
  <si>
    <t>Preferred ROI</t>
  </si>
  <si>
    <t>Profit to Split</t>
  </si>
  <si>
    <t>50% to The BNIC Network LLC</t>
  </si>
  <si>
    <t>50% to Investor</t>
  </si>
  <si>
    <t>Total Investor Profit</t>
  </si>
  <si>
    <t>Purchase Price:</t>
  </si>
  <si>
    <t>30-year fixed amortized</t>
  </si>
  <si>
    <t>LTV of ARV</t>
  </si>
  <si>
    <t>Rolled into loan</t>
  </si>
  <si>
    <t>1st Mortgage Payment (PITI) &amp; PM:</t>
  </si>
  <si>
    <t>HOA:</t>
  </si>
  <si>
    <t>per month</t>
  </si>
  <si>
    <t>Property Management Fee:</t>
  </si>
  <si>
    <t>% of target rent</t>
  </si>
  <si>
    <t>30-year fixed Interest Only</t>
  </si>
  <si>
    <t>CLTV of ARV</t>
  </si>
  <si>
    <t>Flip Investor ROI</t>
  </si>
  <si>
    <t>Purchase Investment:</t>
  </si>
  <si>
    <t>Minimum Monthly Rental Income:</t>
  </si>
  <si>
    <t>Target Rent</t>
  </si>
  <si>
    <t>Amount above/(under) minimum:</t>
  </si>
  <si>
    <t>% over monthly costs</t>
  </si>
  <si>
    <t>Gross Monthly Payment</t>
  </si>
  <si>
    <t>Monthly Rent to Purchase Price Ratio</t>
  </si>
  <si>
    <t xml:space="preserve"> - Less Vacancy Rate:</t>
  </si>
  <si>
    <t>Vacancy Rate</t>
  </si>
  <si>
    <t xml:space="preserve"> - Less Maintenance and CAPEX reserve:</t>
  </si>
  <si>
    <t>Maintenance and CAPEX %</t>
  </si>
  <si>
    <t>NET RENT</t>
  </si>
  <si>
    <t>Annual Rent Increase:</t>
  </si>
  <si>
    <t>ROI after taxes, Depreciation, Reserves, and Financing Costs</t>
  </si>
  <si>
    <t>Annual Appreciation Rate:</t>
  </si>
  <si>
    <t>Annual Depreciation Rate:</t>
  </si>
  <si>
    <t>Marginal Tax Bracket:</t>
  </si>
  <si>
    <t>Year</t>
  </si>
  <si>
    <t>Rental Income</t>
  </si>
  <si>
    <t>Mortgage Payment</t>
  </si>
  <si>
    <t>Property Costs</t>
  </si>
  <si>
    <t>Mortgage Interest</t>
  </si>
  <si>
    <t>Depreciation</t>
  </si>
  <si>
    <t>Net Gain/(Loss)</t>
  </si>
  <si>
    <t>Taxes</t>
  </si>
  <si>
    <t>Net Cash</t>
  </si>
  <si>
    <t>Reserves</t>
  </si>
  <si>
    <t>Return on Investment</t>
  </si>
  <si>
    <t>Return on Equity</t>
  </si>
  <si>
    <t>Property Value</t>
  </si>
  <si>
    <t>Grand Totals</t>
  </si>
  <si>
    <t>Initial Investment:</t>
  </si>
  <si>
    <t>ROI:</t>
  </si>
  <si>
    <t>Total Return in Investment:</t>
  </si>
  <si>
    <t>Average Annual Return:</t>
  </si>
  <si>
    <t>Investment Rental Value (IRV):</t>
  </si>
  <si>
    <t>Yes or no</t>
  </si>
  <si>
    <t>Amortized</t>
  </si>
  <si>
    <t>Terms</t>
  </si>
  <si>
    <t>of current purchase price</t>
  </si>
  <si>
    <t xml:space="preserve"> - Less Vacancy Rate Reserve:</t>
  </si>
  <si>
    <t xml:space="preserve"> - Less Maintenance and CAPEX Reserve:</t>
  </si>
  <si>
    <t>1st Mortage Loan Amount:</t>
  </si>
  <si>
    <t>Spread</t>
  </si>
  <si>
    <t>Interest Rate:</t>
  </si>
  <si>
    <t>Investor's Rate</t>
  </si>
  <si>
    <t>Term (months):</t>
  </si>
  <si>
    <t>Month</t>
  </si>
  <si>
    <t>Payment</t>
  </si>
  <si>
    <t>Interest</t>
  </si>
  <si>
    <t>Principle</t>
  </si>
  <si>
    <t>Cumulative Interest</t>
  </si>
  <si>
    <t>Cumulative Principle</t>
  </si>
  <si>
    <t>Loan Balance</t>
  </si>
  <si>
    <t>% of Balance Remaining</t>
  </si>
  <si>
    <t>Net Payment</t>
  </si>
  <si>
    <t>Cumulative Net Payment</t>
  </si>
  <si>
    <t>Net Interest</t>
  </si>
  <si>
    <t>Cumulative Net Interest</t>
  </si>
  <si>
    <t>Totals</t>
  </si>
  <si>
    <t>Medium</t>
  </si>
  <si>
    <t>High</t>
  </si>
  <si>
    <t>Full</t>
  </si>
  <si>
    <t xml:space="preserve"> - Address, Section 8 Monthly Rent, and Rehab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</si>
</sst>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&quot;$&quot;#,##0"/>
  </numFmts>
  <fonts count="13" x14ac:knownFonts="1">
    <font>
      <sz val="10"/>
      <color indexed="8"/>
      <name val="Tahoma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4"/>
      <color indexed="8"/>
      <name val="Arial"/>
      <family val="2"/>
    </font>
    <font>
      <b/>
      <sz val="14"/>
      <color indexed="8"/>
      <name val="Tahoma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sz val="9"/>
      <color rgb="FF000000"/>
      <name val="Arial"/>
      <family val="2"/>
    </font>
    <font>
      <b/>
      <u/>
      <sz val="10"/>
      <color indexed="8"/>
      <name val="Tahoma"/>
      <family val="2"/>
    </font>
    <font>
      <b/>
      <u/>
      <sz val="10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21">
    <xf numFmtId="0" fontId="0" fillId="0" borderId="0" xfId="0"/>
    <xf numFmtId="0" fontId="2" fillId="0" borderId="0" xfId="0" applyFont="1" applyAlignment="1">
      <alignment horizontal="right"/>
    </xf>
    <xf numFmtId="164" fontId="2" fillId="0" borderId="0" xfId="0" applyNumberFormat="1" applyFont="1"/>
    <xf numFmtId="10" fontId="2" fillId="0" borderId="0" xfId="0" applyNumberFormat="1" applyFont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4" fillId="0" borderId="0" xfId="0" applyFont="1"/>
    <xf numFmtId="8" fontId="0" fillId="0" borderId="0" xfId="0" applyNumberFormat="1"/>
    <xf numFmtId="10" fontId="2" fillId="2" borderId="0" xfId="0" applyNumberFormat="1" applyFont="1" applyFill="1"/>
    <xf numFmtId="165" fontId="2" fillId="2" borderId="0" xfId="0" applyNumberFormat="1" applyFont="1" applyFill="1"/>
    <xf numFmtId="164" fontId="2" fillId="2" borderId="0" xfId="3" applyNumberFormat="1" applyFont="1" applyFill="1"/>
    <xf numFmtId="10" fontId="0" fillId="0" borderId="0" xfId="5" applyNumberFormat="1" applyFont="1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164" fontId="2" fillId="0" borderId="0" xfId="3" applyNumberFormat="1" applyFont="1" applyFill="1"/>
    <xf numFmtId="9" fontId="0" fillId="0" borderId="0" xfId="5" applyFont="1"/>
    <xf numFmtId="9" fontId="4" fillId="0" borderId="0" xfId="5" applyFont="1"/>
    <xf numFmtId="164" fontId="0" fillId="0" borderId="0" xfId="3" applyNumberFormat="1" applyFont="1"/>
    <xf numFmtId="10" fontId="0" fillId="0" borderId="0" xfId="0" applyNumberFormat="1"/>
    <xf numFmtId="10" fontId="3" fillId="2" borderId="0" xfId="0" applyNumberFormat="1" applyFont="1" applyFill="1"/>
    <xf numFmtId="0" fontId="4" fillId="0" borderId="0" xfId="0" applyFont="1" applyAlignment="1">
      <alignment horizontal="right"/>
    </xf>
    <xf numFmtId="164" fontId="4" fillId="0" borderId="0" xfId="3" applyNumberFormat="1" applyFont="1"/>
    <xf numFmtId="10" fontId="4" fillId="0" borderId="0" xfId="0" applyNumberFormat="1" applyFont="1"/>
    <xf numFmtId="166" fontId="2" fillId="0" borderId="0" xfId="0" applyNumberFormat="1" applyFont="1"/>
    <xf numFmtId="164" fontId="2" fillId="0" borderId="0" xfId="3" applyNumberFormat="1" applyFont="1" applyBorder="1"/>
    <xf numFmtId="10" fontId="2" fillId="0" borderId="0" xfId="5" applyNumberFormat="1" applyFont="1" applyFill="1"/>
    <xf numFmtId="164" fontId="2" fillId="0" borderId="0" xfId="0" quotePrefix="1" applyNumberFormat="1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horizontal="right"/>
    </xf>
    <xf numFmtId="164" fontId="2" fillId="0" borderId="1" xfId="0" applyNumberFormat="1" applyFont="1" applyBorder="1"/>
    <xf numFmtId="165" fontId="2" fillId="2" borderId="0" xfId="1" applyNumberFormat="1" applyFont="1" applyFill="1"/>
    <xf numFmtId="0" fontId="2" fillId="0" borderId="0" xfId="0" applyFont="1"/>
    <xf numFmtId="165" fontId="2" fillId="0" borderId="0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166" fontId="3" fillId="0" borderId="0" xfId="0" applyNumberFormat="1" applyFont="1"/>
    <xf numFmtId="44" fontId="2" fillId="0" borderId="0" xfId="3" applyFont="1" applyBorder="1" applyAlignment="1">
      <alignment horizontal="left"/>
    </xf>
    <xf numFmtId="9" fontId="3" fillId="0" borderId="0" xfId="5" applyFont="1"/>
    <xf numFmtId="10" fontId="3" fillId="0" borderId="0" xfId="0" applyNumberFormat="1" applyFont="1"/>
    <xf numFmtId="43" fontId="2" fillId="0" borderId="0" xfId="1" applyFont="1" applyBorder="1" applyAlignment="1">
      <alignment horizontal="center"/>
    </xf>
    <xf numFmtId="164" fontId="2" fillId="0" borderId="0" xfId="0" applyNumberFormat="1" applyFont="1" applyAlignment="1">
      <alignment horizontal="left" vertical="top" wrapText="1"/>
    </xf>
    <xf numFmtId="164" fontId="3" fillId="3" borderId="3" xfId="0" applyNumberFormat="1" applyFont="1" applyFill="1" applyBorder="1"/>
    <xf numFmtId="0" fontId="2" fillId="0" borderId="1" xfId="0" applyFont="1" applyBorder="1" applyAlignment="1">
      <alignment horizontal="right"/>
    </xf>
    <xf numFmtId="10" fontId="2" fillId="2" borderId="1" xfId="0" applyNumberFormat="1" applyFont="1" applyFill="1" applyBorder="1"/>
    <xf numFmtId="164" fontId="3" fillId="4" borderId="4" xfId="3" applyNumberFormat="1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44" fontId="2" fillId="0" borderId="0" xfId="3" applyFont="1" applyFill="1" applyBorder="1" applyAlignment="1"/>
    <xf numFmtId="164" fontId="3" fillId="5" borderId="5" xfId="3" applyNumberFormat="1" applyFont="1" applyFill="1" applyBorder="1"/>
    <xf numFmtId="0" fontId="0" fillId="0" borderId="1" xfId="0" applyBorder="1"/>
    <xf numFmtId="164" fontId="3" fillId="2" borderId="0" xfId="0" applyNumberFormat="1" applyFont="1" applyFill="1"/>
    <xf numFmtId="10" fontId="3" fillId="2" borderId="1" xfId="0" applyNumberFormat="1" applyFont="1" applyFill="1" applyBorder="1"/>
    <xf numFmtId="0" fontId="0" fillId="0" borderId="1" xfId="0" applyBorder="1" applyAlignment="1">
      <alignment horizontal="center"/>
    </xf>
    <xf numFmtId="164" fontId="3" fillId="0" borderId="0" xfId="3" applyNumberFormat="1" applyFont="1" applyBorder="1"/>
    <xf numFmtId="0" fontId="6" fillId="0" borderId="0" xfId="0" applyFont="1" applyAlignment="1">
      <alignment horizontal="right"/>
    </xf>
    <xf numFmtId="164" fontId="6" fillId="5" borderId="3" xfId="0" applyNumberFormat="1" applyFont="1" applyFill="1" applyBorder="1"/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6" fontId="3" fillId="0" borderId="0" xfId="0" applyNumberFormat="1" applyFont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164" fontId="2" fillId="0" borderId="2" xfId="0" applyNumberFormat="1" applyFont="1" applyBorder="1"/>
    <xf numFmtId="164" fontId="4" fillId="0" borderId="0" xfId="0" applyNumberFormat="1" applyFont="1"/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0" fontId="3" fillId="2" borderId="0" xfId="5" applyNumberFormat="1" applyFont="1" applyFill="1"/>
    <xf numFmtId="44" fontId="2" fillId="2" borderId="0" xfId="3" applyFont="1" applyFill="1"/>
    <xf numFmtId="9" fontId="2" fillId="0" borderId="0" xfId="5" applyFont="1"/>
    <xf numFmtId="166" fontId="2" fillId="4" borderId="3" xfId="0" applyNumberFormat="1" applyFont="1" applyFill="1" applyBorder="1"/>
    <xf numFmtId="10" fontId="3" fillId="0" borderId="0" xfId="5" applyNumberFormat="1" applyFont="1" applyFill="1" applyBorder="1" applyAlignment="1">
      <alignment horizontal="center"/>
    </xf>
    <xf numFmtId="10" fontId="0" fillId="0" borderId="0" xfId="5" applyNumberFormat="1" applyFont="1" applyBorder="1"/>
    <xf numFmtId="164" fontId="3" fillId="5" borderId="3" xfId="3" applyNumberFormat="1" applyFont="1" applyFill="1" applyBorder="1"/>
    <xf numFmtId="0" fontId="10" fillId="0" borderId="0" xfId="0" applyFont="1"/>
    <xf numFmtId="164" fontId="0" fillId="0" borderId="0" xfId="4" applyNumberFormat="1" applyFont="1"/>
    <xf numFmtId="164" fontId="0" fillId="0" borderId="2" xfId="4" applyNumberFormat="1" applyFont="1" applyBorder="1"/>
    <xf numFmtId="164" fontId="0" fillId="0" borderId="0" xfId="0" applyNumberFormat="1"/>
    <xf numFmtId="164" fontId="3" fillId="4" borderId="3" xfId="4" applyNumberFormat="1" applyFont="1" applyFill="1" applyBorder="1"/>
    <xf numFmtId="10" fontId="3" fillId="2" borderId="0" xfId="6" applyNumberFormat="1" applyFont="1" applyFill="1" applyBorder="1" applyAlignment="1">
      <alignment horizontal="center"/>
    </xf>
    <xf numFmtId="44" fontId="2" fillId="0" borderId="0" xfId="4" applyFont="1" applyBorder="1" applyAlignment="1">
      <alignment horizontal="left"/>
    </xf>
    <xf numFmtId="9" fontId="0" fillId="0" borderId="0" xfId="6" applyFont="1"/>
    <xf numFmtId="164" fontId="2" fillId="0" borderId="0" xfId="4" applyNumberFormat="1" applyFont="1" applyFill="1"/>
    <xf numFmtId="9" fontId="2" fillId="2" borderId="0" xfId="6" applyFont="1" applyFill="1"/>
    <xf numFmtId="9" fontId="4" fillId="0" borderId="0" xfId="6" applyFont="1"/>
    <xf numFmtId="164" fontId="3" fillId="4" borderId="4" xfId="4" applyNumberFormat="1" applyFont="1" applyFill="1" applyBorder="1"/>
    <xf numFmtId="164" fontId="3" fillId="4" borderId="7" xfId="4" applyNumberFormat="1" applyFont="1" applyFill="1" applyBorder="1"/>
    <xf numFmtId="44" fontId="3" fillId="0" borderId="0" xfId="4" applyFont="1" applyBorder="1" applyAlignment="1">
      <alignment horizontal="center"/>
    </xf>
    <xf numFmtId="165" fontId="2" fillId="0" borderId="0" xfId="2" applyNumberFormat="1" applyFont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43" fontId="2" fillId="0" borderId="0" xfId="2" applyFont="1" applyBorder="1" applyAlignment="1">
      <alignment horizontal="center"/>
    </xf>
    <xf numFmtId="0" fontId="2" fillId="0" borderId="0" xfId="2" applyNumberFormat="1" applyFont="1" applyBorder="1" applyAlignment="1">
      <alignment horizontal="center"/>
    </xf>
    <xf numFmtId="10" fontId="2" fillId="2" borderId="0" xfId="6" applyNumberFormat="1" applyFont="1" applyFill="1"/>
    <xf numFmtId="164" fontId="2" fillId="0" borderId="1" xfId="4" applyNumberFormat="1" applyFont="1" applyFill="1" applyBorder="1"/>
    <xf numFmtId="164" fontId="2" fillId="0" borderId="0" xfId="4" applyNumberFormat="1" applyFont="1" applyBorder="1"/>
    <xf numFmtId="164" fontId="2" fillId="2" borderId="0" xfId="4" applyNumberFormat="1" applyFont="1" applyFill="1"/>
    <xf numFmtId="164" fontId="3" fillId="5" borderId="7" xfId="4" applyNumberFormat="1" applyFont="1" applyFill="1" applyBorder="1"/>
    <xf numFmtId="9" fontId="3" fillId="2" borderId="0" xfId="6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64" fontId="3" fillId="4" borderId="10" xfId="4" applyNumberFormat="1" applyFont="1" applyFill="1" applyBorder="1"/>
    <xf numFmtId="164" fontId="3" fillId="5" borderId="3" xfId="4" applyNumberFormat="1" applyFont="1" applyFill="1" applyBorder="1"/>
    <xf numFmtId="44" fontId="2" fillId="0" borderId="0" xfId="4" applyFont="1" applyFill="1" applyBorder="1" applyAlignment="1"/>
    <xf numFmtId="10" fontId="2" fillId="0" borderId="0" xfId="6" applyNumberFormat="1" applyFont="1" applyFill="1" applyBorder="1"/>
    <xf numFmtId="9" fontId="3" fillId="0" borderId="0" xfId="6" applyFont="1"/>
    <xf numFmtId="164" fontId="3" fillId="0" borderId="0" xfId="4" applyNumberFormat="1" applyFont="1" applyBorder="1"/>
    <xf numFmtId="10" fontId="3" fillId="0" borderId="1" xfId="6" applyNumberFormat="1" applyFont="1" applyBorder="1"/>
    <xf numFmtId="9" fontId="0" fillId="0" borderId="0" xfId="6" applyFont="1" applyBorder="1"/>
    <xf numFmtId="10" fontId="2" fillId="0" borderId="0" xfId="6" applyNumberFormat="1" applyFont="1" applyFill="1"/>
    <xf numFmtId="164" fontId="3" fillId="0" borderId="0" xfId="4" applyNumberFormat="1" applyFont="1" applyFill="1"/>
    <xf numFmtId="0" fontId="2" fillId="0" borderId="0" xfId="2" applyNumberFormat="1" applyFont="1"/>
    <xf numFmtId="165" fontId="2" fillId="0" borderId="0" xfId="2" applyNumberFormat="1" applyFont="1"/>
    <xf numFmtId="164" fontId="6" fillId="0" borderId="0" xfId="0" applyNumberFormat="1" applyFont="1"/>
    <xf numFmtId="10" fontId="6" fillId="0" borderId="0" xfId="6" applyNumberFormat="1" applyFont="1"/>
    <xf numFmtId="0" fontId="9" fillId="0" borderId="0" xfId="0" applyFont="1" applyAlignment="1">
      <alignment horizontal="right"/>
    </xf>
    <xf numFmtId="10" fontId="9" fillId="0" borderId="0" xfId="6" applyNumberFormat="1" applyFont="1"/>
    <xf numFmtId="0" fontId="2" fillId="0" borderId="0" xfId="0" quotePrefix="1" applyFont="1" applyAlignment="1">
      <alignment horizontal="right"/>
    </xf>
    <xf numFmtId="164" fontId="3" fillId="0" borderId="3" xfId="3" applyNumberFormat="1" applyFont="1" applyFill="1" applyBorder="1"/>
    <xf numFmtId="9" fontId="2" fillId="0" borderId="0" xfId="5" applyFont="1" applyFill="1"/>
    <xf numFmtId="9" fontId="2" fillId="0" borderId="0" xfId="0" applyNumberFormat="1" applyFont="1"/>
    <xf numFmtId="165" fontId="2" fillId="0" borderId="0" xfId="0" applyNumberFormat="1" applyFont="1"/>
    <xf numFmtId="10" fontId="2" fillId="0" borderId="1" xfId="5" applyNumberFormat="1" applyFont="1" applyFill="1" applyBorder="1"/>
    <xf numFmtId="9" fontId="2" fillId="2" borderId="0" xfId="5" applyFont="1" applyFill="1" applyBorder="1"/>
    <xf numFmtId="164" fontId="3" fillId="6" borderId="3" xfId="0" applyNumberFormat="1" applyFont="1" applyFill="1" applyBorder="1"/>
    <xf numFmtId="165" fontId="3" fillId="2" borderId="0" xfId="2" applyNumberFormat="1" applyFont="1" applyFill="1"/>
    <xf numFmtId="0" fontId="2" fillId="0" borderId="0" xfId="0" quotePrefix="1" applyFont="1" applyAlignment="1">
      <alignment horizontal="left" vertical="top" wrapText="1"/>
    </xf>
    <xf numFmtId="166" fontId="3" fillId="4" borderId="3" xfId="0" applyNumberFormat="1" applyFont="1" applyFill="1" applyBorder="1"/>
    <xf numFmtId="9" fontId="3" fillId="4" borderId="3" xfId="5" applyFont="1" applyFill="1" applyBorder="1"/>
    <xf numFmtId="10" fontId="4" fillId="0" borderId="0" xfId="5" applyNumberFormat="1" applyFont="1"/>
    <xf numFmtId="0" fontId="4" fillId="0" borderId="0" xfId="0" applyFont="1" applyAlignment="1">
      <alignment horizontal="center" wrapText="1"/>
    </xf>
    <xf numFmtId="10" fontId="4" fillId="0" borderId="0" xfId="5" applyNumberFormat="1" applyFont="1" applyAlignment="1">
      <alignment horizontal="center" wrapText="1"/>
    </xf>
    <xf numFmtId="44" fontId="0" fillId="0" borderId="0" xfId="0" applyNumberFormat="1"/>
    <xf numFmtId="8" fontId="4" fillId="0" borderId="0" xfId="0" applyNumberFormat="1" applyFont="1"/>
    <xf numFmtId="0" fontId="5" fillId="0" borderId="0" xfId="0" applyFont="1"/>
    <xf numFmtId="10" fontId="5" fillId="0" borderId="0" xfId="5" applyNumberFormat="1" applyFont="1"/>
    <xf numFmtId="44" fontId="4" fillId="0" borderId="0" xfId="0" applyNumberFormat="1" applyFont="1"/>
    <xf numFmtId="164" fontId="3" fillId="0" borderId="0" xfId="3" applyNumberFormat="1" applyFont="1" applyFill="1" applyBorder="1"/>
    <xf numFmtId="10" fontId="3" fillId="4" borderId="3" xfId="5" applyNumberFormat="1" applyFont="1" applyFill="1" applyBorder="1"/>
    <xf numFmtId="164" fontId="2" fillId="2" borderId="1" xfId="0" applyNumberFormat="1" applyFont="1" applyFill="1" applyBorder="1"/>
    <xf numFmtId="164" fontId="3" fillId="2" borderId="3" xfId="3" applyNumberFormat="1" applyFont="1" applyFill="1" applyBorder="1"/>
    <xf numFmtId="10" fontId="2" fillId="2" borderId="0" xfId="5" applyNumberFormat="1" applyFont="1" applyFill="1"/>
    <xf numFmtId="164" fontId="4" fillId="0" borderId="11" xfId="3" applyNumberFormat="1" applyFont="1" applyBorder="1"/>
    <xf numFmtId="165" fontId="2" fillId="2" borderId="0" xfId="1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43" fontId="2" fillId="2" borderId="0" xfId="1" applyFont="1" applyFill="1"/>
    <xf numFmtId="9" fontId="2" fillId="2" borderId="0" xfId="5" applyFont="1" applyFill="1"/>
    <xf numFmtId="165" fontId="3" fillId="5" borderId="5" xfId="4" applyNumberFormat="1" applyFont="1" applyFill="1" applyBorder="1"/>
    <xf numFmtId="164" fontId="3" fillId="2" borderId="0" xfId="3" applyNumberFormat="1" applyFont="1" applyFill="1"/>
    <xf numFmtId="164" fontId="0" fillId="0" borderId="0" xfId="3" applyNumberFormat="1" applyFont="1" applyFill="1"/>
    <xf numFmtId="10" fontId="0" fillId="0" borderId="0" xfId="5" applyNumberFormat="1" applyFont="1" applyFill="1"/>
    <xf numFmtId="164" fontId="4" fillId="0" borderId="0" xfId="3" applyNumberFormat="1" applyFont="1" applyBorder="1"/>
    <xf numFmtId="0" fontId="4" fillId="0" borderId="12" xfId="0" applyFont="1" applyBorder="1"/>
    <xf numFmtId="164" fontId="4" fillId="0" borderId="14" xfId="3" applyNumberFormat="1" applyFont="1" applyBorder="1"/>
    <xf numFmtId="10" fontId="4" fillId="0" borderId="14" xfId="5" applyNumberFormat="1" applyFont="1" applyBorder="1"/>
    <xf numFmtId="10" fontId="0" fillId="0" borderId="13" xfId="5" applyNumberFormat="1" applyFont="1" applyBorder="1"/>
    <xf numFmtId="164" fontId="0" fillId="0" borderId="0" xfId="3" applyNumberFormat="1" applyFont="1" applyBorder="1"/>
    <xf numFmtId="10" fontId="0" fillId="0" borderId="16" xfId="5" applyNumberFormat="1" applyFont="1" applyBorder="1"/>
    <xf numFmtId="0" fontId="11" fillId="0" borderId="15" xfId="0" applyFont="1" applyBorder="1"/>
    <xf numFmtId="0" fontId="4" fillId="0" borderId="15" xfId="0" applyFont="1" applyBorder="1" applyAlignment="1">
      <alignment horizontal="right"/>
    </xf>
    <xf numFmtId="164" fontId="5" fillId="0" borderId="0" xfId="3" applyNumberFormat="1" applyFont="1" applyBorder="1"/>
    <xf numFmtId="0" fontId="4" fillId="0" borderId="15" xfId="0" applyFont="1" applyBorder="1"/>
    <xf numFmtId="164" fontId="0" fillId="4" borderId="0" xfId="3" applyNumberFormat="1" applyFont="1" applyFill="1" applyBorder="1"/>
    <xf numFmtId="164" fontId="0" fillId="5" borderId="0" xfId="3" applyNumberFormat="1" applyFont="1" applyFill="1" applyBorder="1"/>
    <xf numFmtId="10" fontId="0" fillId="0" borderId="16" xfId="5" applyNumberFormat="1" applyFont="1" applyBorder="1" applyAlignment="1">
      <alignment horizontal="right"/>
    </xf>
    <xf numFmtId="10" fontId="0" fillId="0" borderId="18" xfId="5" applyNumberFormat="1" applyFont="1" applyBorder="1"/>
    <xf numFmtId="10" fontId="0" fillId="0" borderId="19" xfId="5" applyNumberFormat="1" applyFont="1" applyBorder="1"/>
    <xf numFmtId="164" fontId="0" fillId="0" borderId="0" xfId="3" applyNumberFormat="1" applyFont="1" applyFill="1" applyBorder="1"/>
    <xf numFmtId="10" fontId="0" fillId="0" borderId="0" xfId="5" applyNumberFormat="1" applyFont="1" applyFill="1" applyBorder="1"/>
    <xf numFmtId="10" fontId="0" fillId="0" borderId="16" xfId="5" applyNumberFormat="1" applyFont="1" applyFill="1" applyBorder="1"/>
    <xf numFmtId="0" fontId="5" fillId="0" borderId="15" xfId="0" applyFont="1" applyBorder="1"/>
    <xf numFmtId="0" fontId="5" fillId="0" borderId="17" xfId="0" applyFont="1" applyBorder="1"/>
    <xf numFmtId="164" fontId="0" fillId="0" borderId="18" xfId="3" applyNumberFormat="1" applyFont="1" applyBorder="1"/>
    <xf numFmtId="164" fontId="7" fillId="5" borderId="12" xfId="3" applyNumberFormat="1" applyFont="1" applyFill="1" applyBorder="1"/>
    <xf numFmtId="10" fontId="7" fillId="5" borderId="3" xfId="5" applyNumberFormat="1" applyFont="1" applyFill="1" applyBorder="1"/>
    <xf numFmtId="0" fontId="7" fillId="0" borderId="17" xfId="0" applyFont="1" applyBorder="1"/>
    <xf numFmtId="10" fontId="4" fillId="0" borderId="0" xfId="5" applyNumberFormat="1" applyFont="1" applyBorder="1" applyAlignment="1">
      <alignment horizontal="center" wrapText="1"/>
    </xf>
    <xf numFmtId="10" fontId="4" fillId="0" borderId="16" xfId="5" applyNumberFormat="1" applyFont="1" applyBorder="1" applyAlignment="1">
      <alignment horizontal="center" wrapText="1"/>
    </xf>
    <xf numFmtId="166" fontId="3" fillId="2" borderId="3" xfId="5" applyNumberFormat="1" applyFont="1" applyFill="1" applyBorder="1"/>
    <xf numFmtId="10" fontId="3" fillId="0" borderId="0" xfId="5" applyNumberFormat="1" applyFont="1"/>
    <xf numFmtId="164" fontId="2" fillId="3" borderId="0" xfId="0" applyNumberFormat="1" applyFont="1" applyFill="1"/>
    <xf numFmtId="164" fontId="0" fillId="3" borderId="0" xfId="3" applyNumberFormat="1" applyFont="1" applyFill="1" applyBorder="1"/>
    <xf numFmtId="0" fontId="6" fillId="0" borderId="0" xfId="0" applyFont="1" applyAlignment="1">
      <alignment horizontal="left"/>
    </xf>
    <xf numFmtId="164" fontId="3" fillId="3" borderId="4" xfId="3" applyNumberFormat="1" applyFont="1" applyFill="1" applyBorder="1"/>
    <xf numFmtId="164" fontId="2" fillId="2" borderId="0" xfId="0" applyNumberFormat="1" applyFont="1" applyFill="1"/>
    <xf numFmtId="165" fontId="2" fillId="2" borderId="0" xfId="5" applyNumberFormat="1" applyFont="1" applyFill="1" applyBorder="1"/>
    <xf numFmtId="164" fontId="3" fillId="2" borderId="3" xfId="4" applyNumberFormat="1" applyFont="1" applyFill="1" applyBorder="1"/>
    <xf numFmtId="164" fontId="2" fillId="0" borderId="20" xfId="0" applyNumberFormat="1" applyFont="1" applyBorder="1"/>
    <xf numFmtId="166" fontId="2" fillId="0" borderId="0" xfId="5" applyNumberFormat="1" applyFont="1"/>
    <xf numFmtId="164" fontId="3" fillId="5" borderId="4" xfId="3" applyNumberFormat="1" applyFont="1" applyFill="1" applyBorder="1"/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0" fillId="0" borderId="0" xfId="0" applyAlignment="1">
      <alignment horizontal="right"/>
    </xf>
    <xf numFmtId="165" fontId="0" fillId="2" borderId="24" xfId="1" applyNumberFormat="1" applyFont="1" applyFill="1" applyBorder="1" applyAlignment="1">
      <alignment horizontal="right"/>
    </xf>
    <xf numFmtId="43" fontId="0" fillId="2" borderId="8" xfId="1" applyFont="1" applyFill="1" applyBorder="1" applyAlignment="1">
      <alignment horizontal="right"/>
    </xf>
    <xf numFmtId="165" fontId="0" fillId="2" borderId="8" xfId="1" applyNumberFormat="1" applyFon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3" fontId="0" fillId="2" borderId="9" xfId="1" applyFont="1" applyFill="1" applyBorder="1" applyAlignment="1">
      <alignment horizontal="right"/>
    </xf>
    <xf numFmtId="0" fontId="2" fillId="2" borderId="0" xfId="0" applyFont="1" applyFill="1"/>
    <xf numFmtId="14" fontId="0" fillId="0" borderId="0" xfId="0" applyNumberFormat="1"/>
    <xf numFmtId="10" fontId="2" fillId="0" borderId="1" xfId="6" applyNumberFormat="1" applyFont="1" applyFill="1" applyBorder="1"/>
    <xf numFmtId="164" fontId="3" fillId="5" borderId="0" xfId="3" applyNumberFormat="1" applyFont="1" applyFill="1" applyBorder="1"/>
    <xf numFmtId="0" fontId="0" fillId="2" borderId="3" xfId="0" applyFill="1" applyBorder="1" applyAlignment="1">
      <alignment horizontal="right"/>
    </xf>
    <xf numFmtId="165" fontId="3" fillId="0" borderId="0" xfId="2" applyNumberFormat="1" applyFont="1" applyFill="1"/>
    <xf numFmtId="167" fontId="4" fillId="2" borderId="26" xfId="3" applyNumberFormat="1" applyFont="1" applyFill="1" applyBorder="1" applyAlignment="1">
      <alignment horizontal="left"/>
    </xf>
    <xf numFmtId="167" fontId="4" fillId="0" borderId="3" xfId="3" applyNumberFormat="1" applyFont="1" applyFill="1" applyBorder="1" applyAlignment="1">
      <alignment horizontal="left"/>
    </xf>
    <xf numFmtId="167" fontId="4" fillId="2" borderId="3" xfId="3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wrapText="1"/>
    </xf>
    <xf numFmtId="167" fontId="4" fillId="0" borderId="2" xfId="3" applyNumberFormat="1" applyFont="1" applyFill="1" applyBorder="1" applyAlignment="1">
      <alignment horizontal="left"/>
    </xf>
    <xf numFmtId="0" fontId="0" fillId="0" borderId="16" xfId="0" applyBorder="1"/>
    <xf numFmtId="0" fontId="5" fillId="0" borderId="17" xfId="0" quotePrefix="1" applyFont="1" applyBorder="1"/>
    <xf numFmtId="0" fontId="0" fillId="0" borderId="18" xfId="0" applyBorder="1"/>
    <xf numFmtId="0" fontId="0" fillId="0" borderId="19" xfId="0" applyBorder="1"/>
    <xf numFmtId="0" fontId="4" fillId="0" borderId="2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5" fillId="2" borderId="0" xfId="0" quotePrefix="1" applyFont="1" applyFill="1" applyAlignment="1">
      <alignment wrapText="1"/>
    </xf>
    <xf numFmtId="0" fontId="0" fillId="2" borderId="0" xfId="0" quotePrefix="1" applyFill="1"/>
    <xf numFmtId="165" fontId="4" fillId="0" borderId="3" xfId="1" applyNumberFormat="1" applyFont="1" applyFill="1" applyBorder="1" applyAlignment="1">
      <alignment horizontal="left"/>
    </xf>
  </cellXfs>
  <cellStyles count="7">
    <cellStyle name="Comma" xfId="1" builtinId="3"/>
    <cellStyle name="Comma 2" xfId="2" xr:uid="{00000000-0005-0000-0000-000001000000}"/>
    <cellStyle name="Currency" xfId="3" builtinId="4"/>
    <cellStyle name="Currency 2" xfId="4" xr:uid="{00000000-0005-0000-0000-000003000000}"/>
    <cellStyle name="Normal" xfId="0" builtinId="0"/>
    <cellStyle name="Percent" xfId="5" builtinId="5"/>
    <cellStyle name="Percent 2" xfId="6" xr:uid="{00000000-0005-0000-0000-000006000000}"/>
  </cellStyles>
  <dxfs count="3">
    <dxf>
      <font>
        <b/>
        <i val="0"/>
      </font>
      <fill>
        <patternFill>
          <bgColor rgb="FF6BFE22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M26"/>
  <sheetViews>
    <sheetView tabSelected="1" zoomScale="120" zoomScaleNormal="120" workbookViewId="0">
      <selection activeCell="C3" sqref="C3"/>
    </sheetView>
  </sheetViews>
  <sheetFormatPr defaultRowHeight="12.75" x14ac:dyDescent="0.2"/>
  <cols>
    <col min="1" max="1" width="20.28515625" bestFit="1" customWidth="1"/>
    <col min="2" max="2" width="26.42578125" customWidth="1"/>
    <col min="3" max="3" width="7.140625" style="188" bestFit="1" customWidth="1"/>
  </cols>
  <sheetData>
    <row r="1" spans="1:13" ht="13.5" thickBot="1" x14ac:dyDescent="0.25">
      <c r="A1" t="s">
        <v>0</v>
      </c>
      <c r="B1" s="204" t="s">
        <v>1</v>
      </c>
      <c r="F1" s="212" t="s">
        <v>2</v>
      </c>
      <c r="G1" s="213"/>
      <c r="H1" s="213"/>
      <c r="I1" s="213"/>
      <c r="J1" s="213"/>
      <c r="K1" s="213"/>
      <c r="L1" s="213"/>
      <c r="M1" s="214"/>
    </row>
    <row r="2" spans="1:13" ht="13.5" thickBot="1" x14ac:dyDescent="0.25">
      <c r="A2" s="129" t="s">
        <v>3</v>
      </c>
      <c r="B2" s="203">
        <v>1000</v>
      </c>
      <c r="F2" s="165" t="s">
        <v>4</v>
      </c>
      <c r="M2" s="206"/>
    </row>
    <row r="3" spans="1:13" ht="13.5" thickBot="1" x14ac:dyDescent="0.25">
      <c r="A3" t="s">
        <v>5</v>
      </c>
      <c r="B3" s="205">
        <f>IF(C3="Low",5000,IF(C3="Medium",10000,IF(C3="High",15000,30000)))</f>
        <v>5000</v>
      </c>
      <c r="C3" s="199" t="s">
        <v>6</v>
      </c>
      <c r="D3" s="129" t="s">
        <v>7</v>
      </c>
      <c r="F3" s="165" t="s">
        <v>8</v>
      </c>
      <c r="M3" s="206"/>
    </row>
    <row r="4" spans="1:13" ht="13.5" thickBot="1" x14ac:dyDescent="0.25">
      <c r="A4" t="s">
        <v>9</v>
      </c>
      <c r="B4" s="220">
        <f>IF(C3="Low",1,IF(C3="Medium",2,3))</f>
        <v>1</v>
      </c>
      <c r="F4" s="165" t="s">
        <v>213</v>
      </c>
      <c r="M4" s="206"/>
    </row>
    <row r="5" spans="1:13" ht="13.5" thickBot="1" x14ac:dyDescent="0.25">
      <c r="A5" t="s">
        <v>10</v>
      </c>
      <c r="B5" s="202">
        <f>IF(B3=30000,15000,IF(B3=15000,30000,IF(B3=10000,35000,+'Purchase &amp; Flip'!B3)))</f>
        <v>42250</v>
      </c>
      <c r="F5" s="207" t="s">
        <v>11</v>
      </c>
      <c r="G5" s="208"/>
      <c r="H5" s="208"/>
      <c r="I5" s="208"/>
      <c r="J5" s="208"/>
      <c r="K5" s="208"/>
      <c r="L5" s="208"/>
      <c r="M5" s="209"/>
    </row>
    <row r="6" spans="1:13" hidden="1" x14ac:dyDescent="0.2">
      <c r="A6" t="s">
        <v>12</v>
      </c>
      <c r="B6" s="201">
        <f>B2*70</f>
        <v>70000</v>
      </c>
    </row>
    <row r="8" spans="1:13" x14ac:dyDescent="0.2">
      <c r="A8" t="s">
        <v>13</v>
      </c>
      <c r="B8" s="63" t="str">
        <f ca="1">IF('Purchase &amp; Flip'!B40&gt;'Purchase &amp; Flip'!B1,"NO DEAL",IF('Buy and Hold Rental'!F29&lt;10%,"NO DEAL","DEAL"))</f>
        <v>DEAL</v>
      </c>
    </row>
    <row r="10" spans="1:13" x14ac:dyDescent="0.2">
      <c r="A10" s="2">
        <f>'Sale to Retail Investor'!F31</f>
        <v>12000</v>
      </c>
      <c r="B10" s="2" t="s">
        <v>14</v>
      </c>
    </row>
    <row r="11" spans="1:13" x14ac:dyDescent="0.2">
      <c r="A11" s="2">
        <f>'Sale to Retail Investor'!F32</f>
        <v>-3600</v>
      </c>
      <c r="B11" s="2" t="s">
        <v>15</v>
      </c>
    </row>
    <row r="12" spans="1:13" x14ac:dyDescent="0.2">
      <c r="A12" s="182">
        <f>'Sale to Retail Investor'!F33</f>
        <v>8400</v>
      </c>
      <c r="B12" s="2" t="s">
        <v>16</v>
      </c>
    </row>
    <row r="13" spans="1:13" x14ac:dyDescent="0.2">
      <c r="A13" s="5">
        <f>'Sale to Retail Investor'!F34</f>
        <v>7200</v>
      </c>
      <c r="B13" s="5" t="s">
        <v>17</v>
      </c>
    </row>
    <row r="14" spans="1:13" x14ac:dyDescent="0.2">
      <c r="A14" s="5"/>
      <c r="B14" s="5"/>
    </row>
    <row r="15" spans="1:13" ht="13.5" thickBot="1" x14ac:dyDescent="0.25">
      <c r="A15" s="183">
        <f>'Sale to Retail Investor'!F29</f>
        <v>0.12</v>
      </c>
      <c r="B15" s="2" t="s">
        <v>18</v>
      </c>
    </row>
    <row r="16" spans="1:13" ht="13.5" thickBot="1" x14ac:dyDescent="0.25">
      <c r="A16" s="122">
        <f>'Sale to Retail Investor'!F30</f>
        <v>0.10285714285714286</v>
      </c>
      <c r="B16" s="2" t="s">
        <v>19</v>
      </c>
    </row>
    <row r="17" spans="1:3" x14ac:dyDescent="0.2">
      <c r="A17" s="35"/>
      <c r="B17" s="2"/>
    </row>
    <row r="18" spans="1:3" ht="13.5" thickBot="1" x14ac:dyDescent="0.25">
      <c r="A18" s="35"/>
      <c r="B18" s="2"/>
    </row>
    <row r="19" spans="1:3" ht="13.5" thickBot="1" x14ac:dyDescent="0.25">
      <c r="B19" s="210" t="s">
        <v>20</v>
      </c>
      <c r="C19" s="211"/>
    </row>
    <row r="20" spans="1:3" x14ac:dyDescent="0.2">
      <c r="B20" s="187" t="s">
        <v>21</v>
      </c>
      <c r="C20" s="189">
        <v>3</v>
      </c>
    </row>
    <row r="21" spans="1:3" x14ac:dyDescent="0.2">
      <c r="B21" s="185" t="s">
        <v>22</v>
      </c>
      <c r="C21" s="190">
        <v>1</v>
      </c>
    </row>
    <row r="22" spans="1:3" x14ac:dyDescent="0.2">
      <c r="B22" s="185" t="s">
        <v>23</v>
      </c>
      <c r="C22" s="191">
        <v>1000</v>
      </c>
    </row>
    <row r="23" spans="1:3" x14ac:dyDescent="0.2">
      <c r="B23" s="185" t="s">
        <v>24</v>
      </c>
      <c r="C23" s="193" t="s">
        <v>25</v>
      </c>
    </row>
    <row r="24" spans="1:3" x14ac:dyDescent="0.2">
      <c r="B24" s="185" t="s">
        <v>26</v>
      </c>
      <c r="C24" s="191">
        <v>3500</v>
      </c>
    </row>
    <row r="25" spans="1:3" x14ac:dyDescent="0.2">
      <c r="B25" s="185" t="s">
        <v>27</v>
      </c>
      <c r="C25" s="192">
        <v>1950</v>
      </c>
    </row>
    <row r="26" spans="1:3" ht="13.5" thickBot="1" x14ac:dyDescent="0.25">
      <c r="B26" s="186" t="s">
        <v>28</v>
      </c>
      <c r="C26" s="194">
        <v>1.5</v>
      </c>
    </row>
  </sheetData>
  <mergeCells count="2">
    <mergeCell ref="B19:C19"/>
    <mergeCell ref="F1:M1"/>
  </mergeCells>
  <conditionalFormatting sqref="B8">
    <cfRule type="beginsWith" dxfId="2" priority="1" operator="beginsWith" text="DEAL">
      <formula>LEFT(B8,LEN("DEAL"))="DEAL"</formula>
    </cfRule>
    <cfRule type="containsText" dxfId="1" priority="2" operator="containsText" text="NO DEAL">
      <formula>NOT(ISERROR(SEARCH("NO DEAL",B8)))</formula>
    </cfRule>
  </conditionalFormatting>
  <pageMargins left="0.7" right="0.7" top="0.75" bottom="0.75" header="0.3" footer="0.3"/>
  <pageSetup orientation="portrait" r:id="rId1"/>
  <headerFooter>
    <oddHeader>&amp;C&amp;"Tahoma,Bold"&amp;14&amp;F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Basement" prompt="Is there a basement?" xr:uid="{AD3676E3-F6AC-4CC7-84F7-78EB680300D1}">
          <x14:formula1>
            <xm:f>'Data Validation'!$A$1:$A$2</xm:f>
          </x14:formula1>
          <xm:sqref>C23</xm:sqref>
        </x14:dataValidation>
        <x14:dataValidation type="list" allowBlank="1" showInputMessage="1" showErrorMessage="1" promptTitle="Rehab Level Estimate" prompt="Estimate level of rehab required" xr:uid="{42075789-0403-4DC5-9D77-458A5F1F7900}">
          <x14:formula1>
            <xm:f>'Data Validation'!$A$6:$A$9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D45"/>
  <sheetViews>
    <sheetView zoomScaleNormal="100" workbookViewId="0">
      <pane ySplit="1" topLeftCell="A2" activePane="bottomLeft" state="frozen"/>
      <selection activeCell="E14" sqref="E14"/>
      <selection pane="bottomLeft" activeCell="B26" sqref="B26"/>
    </sheetView>
  </sheetViews>
  <sheetFormatPr defaultRowHeight="12.75" x14ac:dyDescent="0.2"/>
  <cols>
    <col min="1" max="1" width="56.7109375" style="6" bestFit="1" customWidth="1"/>
    <col min="2" max="2" width="14.7109375" style="18" customWidth="1"/>
    <col min="3" max="3" width="15.140625" style="11" customWidth="1"/>
    <col min="4" max="4" width="9.85546875" style="11" customWidth="1"/>
  </cols>
  <sheetData>
    <row r="1" spans="1:4" ht="13.5" thickBot="1" x14ac:dyDescent="0.25">
      <c r="A1" s="147" t="str">
        <f>'Data Entry'!B1</f>
        <v>1234 Sample Rd</v>
      </c>
      <c r="B1" s="148">
        <f>'Data Entry'!B6</f>
        <v>70000</v>
      </c>
      <c r="C1" s="149" t="s">
        <v>12</v>
      </c>
      <c r="D1" s="150"/>
    </row>
    <row r="2" spans="1:4" ht="13.5" thickBot="1" x14ac:dyDescent="0.25">
      <c r="B2" s="22"/>
    </row>
    <row r="3" spans="1:4" ht="18.75" thickBot="1" x14ac:dyDescent="0.3">
      <c r="A3" s="215" t="s">
        <v>29</v>
      </c>
      <c r="B3" s="216"/>
      <c r="C3" s="216"/>
      <c r="D3" s="217"/>
    </row>
    <row r="4" spans="1:4" x14ac:dyDescent="0.2">
      <c r="A4" s="153" t="s">
        <v>30</v>
      </c>
      <c r="B4" s="146"/>
      <c r="C4" s="69"/>
      <c r="D4" s="152"/>
    </row>
    <row r="5" spans="1:4" x14ac:dyDescent="0.2">
      <c r="A5" s="154" t="s">
        <v>31</v>
      </c>
      <c r="B5" s="155">
        <f>'Purchase &amp; Flip'!B4+'Purchase &amp; Flip'!B6</f>
        <v>42250</v>
      </c>
      <c r="C5" s="69"/>
      <c r="D5" s="152"/>
    </row>
    <row r="6" spans="1:4" x14ac:dyDescent="0.2">
      <c r="A6" s="154" t="s">
        <v>32</v>
      </c>
      <c r="B6" s="155">
        <f>'Purchase &amp; Flip'!B2</f>
        <v>5000</v>
      </c>
      <c r="C6" s="69"/>
      <c r="D6" s="152"/>
    </row>
    <row r="7" spans="1:4" x14ac:dyDescent="0.2">
      <c r="A7" s="154" t="s">
        <v>33</v>
      </c>
      <c r="B7" s="155">
        <f>'Purchase &amp; Flip'!B21+'Purchase &amp; Flip'!B28</f>
        <v>0</v>
      </c>
      <c r="C7" s="69"/>
      <c r="D7" s="152"/>
    </row>
    <row r="8" spans="1:4" x14ac:dyDescent="0.2">
      <c r="A8" s="154" t="s">
        <v>34</v>
      </c>
      <c r="B8" s="155">
        <f ca="1">'Purchase &amp; Flip'!B22-B7</f>
        <v>3546.2777777777774</v>
      </c>
      <c r="C8" s="69"/>
      <c r="D8" s="152"/>
    </row>
    <row r="9" spans="1:4" x14ac:dyDescent="0.2">
      <c r="A9" s="154" t="s">
        <v>35</v>
      </c>
      <c r="B9" s="155">
        <f ca="1">'Purchase &amp; Flip'!B35-SUM(Summary!B5:B8)</f>
        <v>1947.5</v>
      </c>
      <c r="C9" s="69"/>
      <c r="D9" s="152"/>
    </row>
    <row r="10" spans="1:4" ht="13.5" thickBot="1" x14ac:dyDescent="0.25">
      <c r="A10" s="154" t="s">
        <v>36</v>
      </c>
      <c r="B10" s="137">
        <f ca="1">SUM(B5:B9)</f>
        <v>52743.777777777781</v>
      </c>
      <c r="C10" s="69"/>
      <c r="D10" s="152"/>
    </row>
    <row r="11" spans="1:4" ht="13.5" thickTop="1" x14ac:dyDescent="0.2">
      <c r="A11" s="156"/>
      <c r="B11" s="146"/>
      <c r="C11" s="69"/>
      <c r="D11" s="152"/>
    </row>
    <row r="12" spans="1:4" ht="25.5" customHeight="1" x14ac:dyDescent="0.2">
      <c r="A12" s="153" t="s">
        <v>37</v>
      </c>
      <c r="B12" s="151"/>
      <c r="C12" s="171" t="s">
        <v>38</v>
      </c>
      <c r="D12" s="172" t="s">
        <v>39</v>
      </c>
    </row>
    <row r="13" spans="1:4" x14ac:dyDescent="0.2">
      <c r="A13" s="154" t="s">
        <v>40</v>
      </c>
      <c r="B13" s="176">
        <f>'Purchase &amp; Flip'!B7</f>
        <v>0</v>
      </c>
      <c r="C13" s="69">
        <f>'Purchase &amp; Flip'!B7/('Purchase &amp; Flip'!B4+'Purchase &amp; Flip'!B6)</f>
        <v>0</v>
      </c>
      <c r="D13" s="152">
        <f>B13/B1</f>
        <v>0</v>
      </c>
    </row>
    <row r="14" spans="1:4" x14ac:dyDescent="0.2">
      <c r="A14" s="154" t="s">
        <v>41</v>
      </c>
      <c r="B14" s="157">
        <f>-'Purchase &amp; Flip'!B27</f>
        <v>0</v>
      </c>
      <c r="C14" s="69">
        <f>(B13+B14)/B5</f>
        <v>0</v>
      </c>
      <c r="D14" s="152">
        <f>(B13+B14)/B1</f>
        <v>0</v>
      </c>
    </row>
    <row r="15" spans="1:4" x14ac:dyDescent="0.2">
      <c r="A15" s="154" t="s">
        <v>42</v>
      </c>
      <c r="B15" s="158">
        <f ca="1">'Purchase &amp; Flip'!B33</f>
        <v>52743.777777777781</v>
      </c>
      <c r="C15" s="69"/>
      <c r="D15" s="159"/>
    </row>
    <row r="16" spans="1:4" ht="13.5" thickBot="1" x14ac:dyDescent="0.25">
      <c r="A16" s="154" t="s">
        <v>43</v>
      </c>
      <c r="B16" s="137">
        <f ca="1">SUM(B13:B15)</f>
        <v>52743.777777777781</v>
      </c>
      <c r="C16" s="69"/>
      <c r="D16" s="152"/>
    </row>
    <row r="17" spans="1:4" ht="14.25" thickTop="1" thickBot="1" x14ac:dyDescent="0.25">
      <c r="A17" s="156"/>
      <c r="B17" s="151"/>
      <c r="C17" s="69"/>
      <c r="D17" s="152"/>
    </row>
    <row r="18" spans="1:4" ht="18.75" thickBot="1" x14ac:dyDescent="0.3">
      <c r="A18" s="170" t="s">
        <v>44</v>
      </c>
      <c r="B18" s="168">
        <f ca="1">'Purchase &amp; Flip'!B48</f>
        <v>10301.581111111111</v>
      </c>
      <c r="C18" s="169">
        <f ca="1">'Purchase &amp; Flip'!B50</f>
        <v>0.1953136757574353</v>
      </c>
      <c r="D18" s="161"/>
    </row>
    <row r="19" spans="1:4" ht="13.5" thickBot="1" x14ac:dyDescent="0.25">
      <c r="B19" s="144"/>
      <c r="C19" s="145"/>
      <c r="D19" s="145"/>
    </row>
    <row r="20" spans="1:4" ht="18.75" thickBot="1" x14ac:dyDescent="0.3">
      <c r="A20" s="215" t="s">
        <v>45</v>
      </c>
      <c r="B20" s="216"/>
      <c r="C20" s="216"/>
      <c r="D20" s="217"/>
    </row>
    <row r="21" spans="1:4" x14ac:dyDescent="0.2">
      <c r="A21" s="153" t="s">
        <v>30</v>
      </c>
      <c r="B21" s="146"/>
      <c r="C21" s="69"/>
      <c r="D21" s="152"/>
    </row>
    <row r="22" spans="1:4" x14ac:dyDescent="0.2">
      <c r="A22" s="154" t="s">
        <v>31</v>
      </c>
      <c r="B22" s="155">
        <f ca="1">'Buy and Hold Rental'!B3-B24</f>
        <v>51493.777777777781</v>
      </c>
      <c r="C22" s="69"/>
      <c r="D22" s="152"/>
    </row>
    <row r="23" spans="1:4" x14ac:dyDescent="0.2">
      <c r="A23" s="154" t="s">
        <v>33</v>
      </c>
      <c r="B23" s="155">
        <f>'Buy and Hold Rental'!B17</f>
        <v>153.75</v>
      </c>
      <c r="C23" s="69"/>
      <c r="D23" s="152"/>
    </row>
    <row r="24" spans="1:4" x14ac:dyDescent="0.2">
      <c r="A24" s="154" t="s">
        <v>46</v>
      </c>
      <c r="B24" s="155">
        <f>'Buy and Hold Rental'!B18</f>
        <v>1250</v>
      </c>
      <c r="C24" s="69"/>
      <c r="D24" s="152"/>
    </row>
    <row r="25" spans="1:4" x14ac:dyDescent="0.2">
      <c r="A25" s="154" t="s">
        <v>47</v>
      </c>
      <c r="B25" s="155">
        <f>'Buy and Hold Rental'!B19</f>
        <v>961.25</v>
      </c>
      <c r="C25" s="69"/>
      <c r="D25" s="152"/>
    </row>
    <row r="26" spans="1:4" x14ac:dyDescent="0.2">
      <c r="A26" s="154" t="s">
        <v>48</v>
      </c>
      <c r="B26" s="155">
        <f ca="1">'Buy and Hold Rental'!B20-Summary!B15+B24</f>
        <v>0</v>
      </c>
      <c r="C26" s="69"/>
      <c r="D26" s="152"/>
    </row>
    <row r="27" spans="1:4" ht="13.5" thickBot="1" x14ac:dyDescent="0.25">
      <c r="A27" s="154" t="s">
        <v>36</v>
      </c>
      <c r="B27" s="137">
        <f ca="1">SUM(B22:B26)</f>
        <v>53858.777777777781</v>
      </c>
      <c r="C27" s="69"/>
      <c r="D27" s="152"/>
    </row>
    <row r="28" spans="1:4" ht="13.5" thickTop="1" x14ac:dyDescent="0.2">
      <c r="A28" s="156"/>
      <c r="B28" s="146"/>
      <c r="C28" s="69"/>
      <c r="D28" s="152"/>
    </row>
    <row r="29" spans="1:4" ht="25.5" x14ac:dyDescent="0.2">
      <c r="A29" s="153" t="s">
        <v>37</v>
      </c>
      <c r="B29" s="151"/>
      <c r="C29" s="171" t="s">
        <v>38</v>
      </c>
      <c r="D29" s="172" t="s">
        <v>39</v>
      </c>
    </row>
    <row r="30" spans="1:4" x14ac:dyDescent="0.2">
      <c r="A30" s="154" t="s">
        <v>49</v>
      </c>
      <c r="B30" s="176">
        <f>B13</f>
        <v>0</v>
      </c>
      <c r="C30" s="69">
        <f ca="1">B30/B22</f>
        <v>0</v>
      </c>
      <c r="D30" s="152">
        <f>B30/B1</f>
        <v>0</v>
      </c>
    </row>
    <row r="31" spans="1:4" x14ac:dyDescent="0.2">
      <c r="A31" s="154" t="s">
        <v>50</v>
      </c>
      <c r="B31" s="157">
        <f>B14</f>
        <v>0</v>
      </c>
      <c r="C31" s="69">
        <f ca="1">(B30+B31)/B22</f>
        <v>0</v>
      </c>
      <c r="D31" s="152">
        <f>(B30+B31)/B1</f>
        <v>0</v>
      </c>
    </row>
    <row r="32" spans="1:4" x14ac:dyDescent="0.2">
      <c r="A32" s="154" t="s">
        <v>51</v>
      </c>
      <c r="B32" s="158">
        <f ca="1">'Buy and Hold Rental'!B21</f>
        <v>53858.777777777781</v>
      </c>
      <c r="C32" s="69"/>
      <c r="D32" s="152"/>
    </row>
    <row r="33" spans="1:4" ht="13.5" thickBot="1" x14ac:dyDescent="0.25">
      <c r="A33" s="154" t="s">
        <v>36</v>
      </c>
      <c r="B33" s="137">
        <f ca="1">SUM(B30:B32)</f>
        <v>53858.777777777781</v>
      </c>
      <c r="C33" s="69"/>
      <c r="D33" s="152"/>
    </row>
    <row r="34" spans="1:4" ht="14.25" thickTop="1" thickBot="1" x14ac:dyDescent="0.25">
      <c r="A34" s="154"/>
      <c r="B34" s="162"/>
      <c r="C34" s="163"/>
      <c r="D34" s="164"/>
    </row>
    <row r="35" spans="1:4" ht="18.75" thickBot="1" x14ac:dyDescent="0.3">
      <c r="A35" s="170" t="s">
        <v>52</v>
      </c>
      <c r="B35" s="168">
        <f ca="1">'Buy and Hold Rental'!I38</f>
        <v>7281.7279999999992</v>
      </c>
      <c r="C35" s="169">
        <f ca="1">'Buy and Hold Rental'!K38</f>
        <v>0.11291990369876774</v>
      </c>
      <c r="D35" s="161"/>
    </row>
    <row r="36" spans="1:4" ht="13.5" thickBot="1" x14ac:dyDescent="0.25"/>
    <row r="37" spans="1:4" ht="18.75" thickBot="1" x14ac:dyDescent="0.3">
      <c r="A37" s="215" t="s">
        <v>53</v>
      </c>
      <c r="B37" s="216"/>
      <c r="C37" s="216"/>
      <c r="D37" s="217"/>
    </row>
    <row r="38" spans="1:4" x14ac:dyDescent="0.2">
      <c r="A38" s="165" t="s">
        <v>54</v>
      </c>
      <c r="B38" s="151"/>
      <c r="C38" s="69"/>
      <c r="D38" s="152"/>
    </row>
    <row r="39" spans="1:4" x14ac:dyDescent="0.2">
      <c r="A39" s="165" t="s">
        <v>55</v>
      </c>
      <c r="B39" s="151"/>
      <c r="C39" s="69"/>
      <c r="D39" s="152"/>
    </row>
    <row r="40" spans="1:4" ht="13.5" thickBot="1" x14ac:dyDescent="0.25">
      <c r="A40" s="166" t="s">
        <v>56</v>
      </c>
      <c r="B40" s="167"/>
      <c r="C40" s="160"/>
      <c r="D40" s="161"/>
    </row>
    <row r="41" spans="1:4" x14ac:dyDescent="0.2">
      <c r="A41" s="129"/>
    </row>
    <row r="42" spans="1:4" x14ac:dyDescent="0.2">
      <c r="A42" s="129"/>
    </row>
    <row r="43" spans="1:4" x14ac:dyDescent="0.2">
      <c r="A43" s="129"/>
    </row>
    <row r="44" spans="1:4" x14ac:dyDescent="0.2">
      <c r="A44" s="129"/>
    </row>
    <row r="45" spans="1:4" x14ac:dyDescent="0.2">
      <c r="A45" s="129"/>
    </row>
  </sheetData>
  <mergeCells count="3">
    <mergeCell ref="A3:D3"/>
    <mergeCell ref="A20:D20"/>
    <mergeCell ref="A37:D37"/>
  </mergeCells>
  <printOptions gridLines="1"/>
  <pageMargins left="0.25" right="0.25" top="0.75" bottom="0.25" header="0.25" footer="0.25"/>
  <pageSetup scale="80" orientation="landscape" r:id="rId1"/>
  <headerFooter alignWithMargins="0">
    <oddHeader>&amp;C&amp;"Tahoma,Bold"&amp;14&amp;F: &amp;A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R59"/>
  <sheetViews>
    <sheetView zoomScaleNormal="100" workbookViewId="0">
      <pane ySplit="6" topLeftCell="A22" activePane="bottomLeft" state="frozen"/>
      <selection activeCell="E14" sqref="E14"/>
      <selection pane="bottomLeft" activeCell="B35" sqref="B35"/>
    </sheetView>
  </sheetViews>
  <sheetFormatPr defaultRowHeight="12.75" x14ac:dyDescent="0.2"/>
  <cols>
    <col min="1" max="1" width="32.5703125" style="1" bestFit="1" customWidth="1"/>
    <col min="2" max="2" width="15.140625" style="2" bestFit="1" customWidth="1"/>
    <col min="3" max="3" width="11" style="2" customWidth="1"/>
    <col min="4" max="4" width="9.7109375" style="2" customWidth="1"/>
    <col min="5" max="5" width="1.28515625" style="2" customWidth="1"/>
    <col min="6" max="6" width="16.28515625" style="2" customWidth="1"/>
    <col min="7" max="7" width="11.140625" style="2" bestFit="1" customWidth="1"/>
    <col min="8" max="8" width="11.7109375" style="3" bestFit="1" customWidth="1"/>
    <col min="9" max="9" width="12.28515625" style="2" bestFit="1" customWidth="1"/>
    <col min="10" max="10" width="10.28515625" style="24" bestFit="1" customWidth="1"/>
    <col min="11" max="11" width="9.85546875" style="2" bestFit="1" customWidth="1"/>
    <col min="12" max="12" width="16.140625" style="91" bestFit="1" customWidth="1"/>
    <col min="13" max="14" width="8.42578125" style="78" bestFit="1" customWidth="1"/>
    <col min="15" max="246" width="8.42578125" bestFit="1" customWidth="1"/>
  </cols>
  <sheetData>
    <row r="1" spans="1:18" ht="13.5" thickBot="1" x14ac:dyDescent="0.25">
      <c r="A1" s="14" t="s">
        <v>57</v>
      </c>
      <c r="B1" s="50">
        <f>'Data Entry'!B6</f>
        <v>70000</v>
      </c>
      <c r="C1" s="2" t="s">
        <v>58</v>
      </c>
      <c r="F1" s="14" t="s">
        <v>59</v>
      </c>
      <c r="G1" s="32" t="str">
        <f>'Data Entry'!B1</f>
        <v>1234 Sample Rd</v>
      </c>
      <c r="H1" s="2"/>
      <c r="J1" s="2"/>
      <c r="L1" s="2"/>
      <c r="M1" s="72"/>
      <c r="N1" s="72"/>
      <c r="O1" s="73"/>
      <c r="Q1" s="74"/>
      <c r="R1" s="19"/>
    </row>
    <row r="2" spans="1:18" ht="13.5" thickBot="1" x14ac:dyDescent="0.25">
      <c r="A2" s="14" t="s">
        <v>60</v>
      </c>
      <c r="B2" s="75">
        <f>'Data Entry'!B3</f>
        <v>5000</v>
      </c>
      <c r="C2" s="76">
        <f>B2/B1</f>
        <v>7.1428571428571425E-2</v>
      </c>
      <c r="D2" s="77" t="s">
        <v>61</v>
      </c>
      <c r="F2" s="14" t="s">
        <v>62</v>
      </c>
      <c r="G2" s="179"/>
      <c r="H2" s="2"/>
      <c r="J2" s="2"/>
      <c r="L2" s="2"/>
    </row>
    <row r="3" spans="1:18" x14ac:dyDescent="0.2">
      <c r="A3" s="1" t="s">
        <v>63</v>
      </c>
      <c r="B3" s="79">
        <f>B1*(1-C3)</f>
        <v>42250</v>
      </c>
      <c r="C3" s="80">
        <f>1-(((B1-B2)*65%)/B1)</f>
        <v>0.39642857142857146</v>
      </c>
      <c r="D3" s="2" t="s">
        <v>64</v>
      </c>
      <c r="F3" s="14" t="s">
        <v>65</v>
      </c>
      <c r="G3" s="195"/>
      <c r="H3" s="32"/>
      <c r="I3" s="32"/>
      <c r="J3" s="32"/>
      <c r="K3" s="32"/>
      <c r="L3" s="32"/>
    </row>
    <row r="4" spans="1:18" s="6" customFormat="1" x14ac:dyDescent="0.2">
      <c r="A4" s="42" t="s">
        <v>66</v>
      </c>
      <c r="B4" s="134">
        <f>IF('Data Entry'!B5=0,'Purchase &amp; Flip'!B3,'Data Entry'!B5)</f>
        <v>42250</v>
      </c>
      <c r="C4" s="30"/>
      <c r="D4" s="30"/>
      <c r="E4" s="2"/>
      <c r="F4" s="14" t="s">
        <v>67</v>
      </c>
      <c r="G4" s="179"/>
      <c r="H4" s="2"/>
      <c r="I4" s="2"/>
      <c r="J4" s="2"/>
      <c r="K4" s="2"/>
      <c r="L4" s="2"/>
      <c r="M4" s="81"/>
      <c r="N4" s="81"/>
    </row>
    <row r="5" spans="1:18" ht="13.5" thickBot="1" x14ac:dyDescent="0.25">
      <c r="A5" s="14" t="s">
        <v>68</v>
      </c>
      <c r="B5" s="82">
        <f>B4*C5</f>
        <v>42250</v>
      </c>
      <c r="C5" s="20">
        <f>IF(C7="Yes",30%,100%)</f>
        <v>1</v>
      </c>
      <c r="D5" s="6"/>
      <c r="E5" s="5"/>
      <c r="F5" s="14" t="s">
        <v>69</v>
      </c>
      <c r="G5" s="5" t="s">
        <v>21</v>
      </c>
      <c r="H5" s="5" t="s">
        <v>22</v>
      </c>
      <c r="I5" s="5" t="s">
        <v>70</v>
      </c>
      <c r="J5" s="5" t="s">
        <v>26</v>
      </c>
      <c r="K5" s="5" t="s">
        <v>27</v>
      </c>
      <c r="L5" s="5" t="s">
        <v>28</v>
      </c>
    </row>
    <row r="6" spans="1:18" x14ac:dyDescent="0.2">
      <c r="A6" s="46" t="s">
        <v>71</v>
      </c>
      <c r="B6" s="83">
        <v>0</v>
      </c>
      <c r="C6" s="51">
        <f>B6/B4</f>
        <v>0</v>
      </c>
      <c r="D6" s="30"/>
      <c r="E6" s="84"/>
      <c r="F6" s="85"/>
      <c r="G6" s="86">
        <f>'Data Entry'!C20</f>
        <v>3</v>
      </c>
      <c r="H6" s="87">
        <f>'Data Entry'!C21</f>
        <v>1</v>
      </c>
      <c r="I6" s="86">
        <f>'Data Entry'!C22</f>
        <v>1000</v>
      </c>
      <c r="J6" s="86">
        <f>'Data Entry'!C24</f>
        <v>3500</v>
      </c>
      <c r="K6" s="88">
        <f>'Data Entry'!C25</f>
        <v>1950</v>
      </c>
      <c r="L6" s="39">
        <f>'Data Entry'!C26</f>
        <v>1.5</v>
      </c>
    </row>
    <row r="7" spans="1:18" ht="13.15" customHeight="1" x14ac:dyDescent="0.2">
      <c r="A7" s="1" t="s">
        <v>72</v>
      </c>
      <c r="B7" s="175">
        <f>(B4-B5)*(1+B10)</f>
        <v>0</v>
      </c>
      <c r="C7" s="143" t="s">
        <v>73</v>
      </c>
      <c r="F7" s="29" t="s">
        <v>74</v>
      </c>
      <c r="G7" s="218"/>
      <c r="H7" s="219"/>
      <c r="I7" s="219"/>
      <c r="J7" s="219"/>
      <c r="K7" s="219"/>
      <c r="L7" s="219"/>
    </row>
    <row r="8" spans="1:18" x14ac:dyDescent="0.2">
      <c r="A8" s="1" t="s">
        <v>75</v>
      </c>
      <c r="B8" s="8">
        <v>0.1</v>
      </c>
      <c r="C8" s="2" t="s">
        <v>76</v>
      </c>
      <c r="F8" s="4"/>
      <c r="G8" s="219"/>
      <c r="H8" s="219"/>
      <c r="I8" s="219"/>
      <c r="J8" s="219"/>
      <c r="K8" s="219"/>
      <c r="L8" s="219"/>
    </row>
    <row r="9" spans="1:18" ht="13.5" thickBot="1" x14ac:dyDescent="0.25">
      <c r="A9" s="1" t="s">
        <v>77</v>
      </c>
      <c r="B9" s="9">
        <v>30</v>
      </c>
      <c r="F9" s="4"/>
      <c r="G9" s="219"/>
      <c r="H9" s="219"/>
      <c r="I9" s="219"/>
      <c r="J9" s="219"/>
      <c r="K9" s="219"/>
      <c r="L9" s="219"/>
    </row>
    <row r="10" spans="1:18" ht="13.15" customHeight="1" x14ac:dyDescent="0.2">
      <c r="A10" s="1" t="s">
        <v>78</v>
      </c>
      <c r="B10" s="89">
        <v>0</v>
      </c>
      <c r="C10" s="13" t="s">
        <v>79</v>
      </c>
      <c r="D10" s="12"/>
      <c r="F10" s="4"/>
      <c r="G10" s="40"/>
      <c r="H10" s="40"/>
      <c r="I10" s="40"/>
      <c r="J10" s="40"/>
      <c r="K10" s="40"/>
      <c r="L10" s="40"/>
    </row>
    <row r="11" spans="1:18" ht="13.5" thickBot="1" x14ac:dyDescent="0.25">
      <c r="A11" s="42" t="s">
        <v>80</v>
      </c>
      <c r="B11" s="90">
        <f>C11*B7</f>
        <v>0</v>
      </c>
      <c r="C11" s="43">
        <v>0.04</v>
      </c>
      <c r="D11" s="52"/>
      <c r="F11" s="27"/>
      <c r="G11" s="27"/>
      <c r="H11" s="27"/>
      <c r="I11" s="27"/>
      <c r="J11" s="27"/>
      <c r="K11" s="27"/>
    </row>
    <row r="12" spans="1:18" ht="13.5" thickBot="1" x14ac:dyDescent="0.25">
      <c r="A12" s="1" t="s">
        <v>81</v>
      </c>
      <c r="B12" s="92">
        <v>500</v>
      </c>
      <c r="C12" s="4"/>
      <c r="D12" s="12"/>
      <c r="E12" s="4"/>
      <c r="F12" s="27"/>
      <c r="G12" s="27"/>
      <c r="H12" s="27"/>
      <c r="I12" s="27"/>
      <c r="J12" s="27"/>
      <c r="K12" s="27"/>
    </row>
    <row r="13" spans="1:18" ht="13.5" thickBot="1" x14ac:dyDescent="0.25">
      <c r="A13" s="1" t="s">
        <v>82</v>
      </c>
      <c r="B13" s="92">
        <f>IF(B7&gt;0,500,25)</f>
        <v>25</v>
      </c>
      <c r="C13" s="4"/>
      <c r="D13" s="12"/>
      <c r="E13" s="4"/>
      <c r="F13" s="27"/>
      <c r="G13" s="27"/>
      <c r="H13" s="27"/>
      <c r="I13" s="27"/>
      <c r="J13" s="27"/>
      <c r="K13" s="27"/>
    </row>
    <row r="14" spans="1:18" ht="13.5" thickBot="1" x14ac:dyDescent="0.25">
      <c r="A14" s="46" t="s">
        <v>83</v>
      </c>
      <c r="B14" s="93">
        <f>SUM(B12:B13)</f>
        <v>525</v>
      </c>
      <c r="C14" s="45"/>
      <c r="D14" s="52"/>
      <c r="E14" s="4"/>
      <c r="F14" s="28"/>
      <c r="G14" s="40"/>
      <c r="H14" s="40"/>
      <c r="I14" s="40"/>
      <c r="J14" s="40"/>
      <c r="K14" s="40"/>
      <c r="L14" s="40"/>
    </row>
    <row r="15" spans="1:18" ht="13.5" thickBot="1" x14ac:dyDescent="0.25">
      <c r="A15" s="1" t="s">
        <v>84</v>
      </c>
      <c r="B15" s="92">
        <f>IF(B4&lt;30000,330,B4*1.1%)</f>
        <v>464.75000000000006</v>
      </c>
      <c r="C15" s="4"/>
      <c r="D15" s="12"/>
      <c r="E15" s="4"/>
      <c r="F15" s="28"/>
      <c r="G15" s="40"/>
      <c r="H15" s="40"/>
      <c r="I15" s="40"/>
      <c r="J15" s="40"/>
      <c r="K15" s="40"/>
      <c r="L15" s="40"/>
    </row>
    <row r="16" spans="1:18" ht="13.5" thickBot="1" x14ac:dyDescent="0.25">
      <c r="A16" s="1" t="s">
        <v>85</v>
      </c>
      <c r="B16" s="92">
        <v>750</v>
      </c>
      <c r="C16" s="4"/>
      <c r="D16" s="12"/>
      <c r="E16" s="4"/>
      <c r="F16" s="27"/>
      <c r="G16" s="27"/>
      <c r="H16" s="27"/>
      <c r="I16" s="27"/>
      <c r="J16" s="27"/>
      <c r="K16" s="27"/>
    </row>
    <row r="17" spans="1:14" ht="13.5" thickBot="1" x14ac:dyDescent="0.25">
      <c r="A17" s="1" t="s">
        <v>86</v>
      </c>
      <c r="B17" s="92">
        <v>1000</v>
      </c>
      <c r="C17" s="4"/>
      <c r="D17" s="12"/>
      <c r="E17" s="4"/>
      <c r="F17" s="27"/>
      <c r="G17" s="27"/>
      <c r="H17" s="27"/>
      <c r="I17" s="27"/>
      <c r="J17" s="27"/>
      <c r="K17" s="27"/>
    </row>
    <row r="18" spans="1:14" ht="13.5" thickBot="1" x14ac:dyDescent="0.25">
      <c r="A18" s="1" t="s">
        <v>87</v>
      </c>
      <c r="B18" s="79">
        <f>IF(C18*B4&lt;1000,1000,C18*B4)</f>
        <v>1000</v>
      </c>
      <c r="C18" s="94">
        <v>0.02</v>
      </c>
      <c r="D18" s="95" t="s">
        <v>88</v>
      </c>
      <c r="E18" s="4"/>
    </row>
    <row r="19" spans="1:14" ht="13.5" thickBot="1" x14ac:dyDescent="0.25">
      <c r="A19" s="1" t="s">
        <v>89</v>
      </c>
      <c r="B19" s="79">
        <f>(C24*C19)+50</f>
        <v>120.41666666666667</v>
      </c>
      <c r="C19" s="31">
        <v>1</v>
      </c>
      <c r="D19" s="13" t="s">
        <v>90</v>
      </c>
      <c r="E19" s="4"/>
    </row>
    <row r="20" spans="1:14" ht="13.5" thickBot="1" x14ac:dyDescent="0.25">
      <c r="A20" s="1" t="s">
        <v>91</v>
      </c>
      <c r="B20" s="79">
        <f ca="1">C20-((C20/360)*(TODAY()-'Data Validation'!A4))</f>
        <v>211.11111111111109</v>
      </c>
      <c r="C20" s="65">
        <f>'Data Entry'!B2</f>
        <v>1000</v>
      </c>
      <c r="D20" s="13" t="s">
        <v>92</v>
      </c>
      <c r="E20" s="4"/>
    </row>
    <row r="21" spans="1:14" ht="13.5" thickBot="1" x14ac:dyDescent="0.25">
      <c r="A21" s="1" t="s">
        <v>93</v>
      </c>
      <c r="B21" s="79">
        <f>B11+(('Amort Schedule - Flip'!C5*(30-'Purchase &amp; Flip'!C21))/30)</f>
        <v>0</v>
      </c>
      <c r="C21" s="138">
        <v>1</v>
      </c>
      <c r="D21" s="139" t="s">
        <v>94</v>
      </c>
      <c r="E21" s="4"/>
    </row>
    <row r="22" spans="1:14" ht="13.5" thickBot="1" x14ac:dyDescent="0.25">
      <c r="A22" s="46" t="s">
        <v>34</v>
      </c>
      <c r="B22" s="96">
        <f ca="1">SUM(B15:B21)</f>
        <v>3546.2777777777774</v>
      </c>
      <c r="D22" s="30"/>
    </row>
    <row r="23" spans="1:14" ht="13.5" thickBot="1" x14ac:dyDescent="0.25">
      <c r="A23" s="14" t="s">
        <v>95</v>
      </c>
      <c r="B23" s="5"/>
      <c r="C23" s="97">
        <f>(IFERROR(-PMT(B8/12,B9*12,B7),0))</f>
        <v>0</v>
      </c>
      <c r="D23" s="98"/>
      <c r="E23" s="99"/>
    </row>
    <row r="24" spans="1:14" ht="13.5" thickBot="1" x14ac:dyDescent="0.25">
      <c r="A24" s="1" t="s">
        <v>96</v>
      </c>
      <c r="B24" s="2">
        <f>D24*B4</f>
        <v>845</v>
      </c>
      <c r="C24" s="2">
        <f>B24/12</f>
        <v>70.416666666666671</v>
      </c>
      <c r="D24" s="89">
        <v>0.02</v>
      </c>
      <c r="E24" s="2" t="s">
        <v>97</v>
      </c>
    </row>
    <row r="25" spans="1:14" ht="13.5" thickBot="1" x14ac:dyDescent="0.25">
      <c r="A25" s="1" t="s">
        <v>98</v>
      </c>
      <c r="B25" s="2">
        <f>B7*D25</f>
        <v>0</v>
      </c>
      <c r="C25" s="2">
        <f>B25/12</f>
        <v>0</v>
      </c>
      <c r="D25" s="89">
        <v>0</v>
      </c>
      <c r="E25" s="2" t="s">
        <v>99</v>
      </c>
    </row>
    <row r="26" spans="1:14" ht="13.5" thickBot="1" x14ac:dyDescent="0.25">
      <c r="A26" s="42" t="s">
        <v>100</v>
      </c>
      <c r="B26" s="30">
        <f>C20</f>
        <v>1000</v>
      </c>
      <c r="C26" s="30">
        <f>B26/12</f>
        <v>83.333333333333329</v>
      </c>
      <c r="D26" s="197">
        <f>B26/B4</f>
        <v>2.3668639053254437E-2</v>
      </c>
      <c r="E26" s="2" t="s">
        <v>101</v>
      </c>
    </row>
    <row r="27" spans="1:14" s="6" customFormat="1" ht="13.5" thickBot="1" x14ac:dyDescent="0.25">
      <c r="A27" s="14" t="s">
        <v>102</v>
      </c>
      <c r="B27" s="75">
        <f>IF(C27="Yes",B2+B5+B6+B22, 0)</f>
        <v>0</v>
      </c>
      <c r="C27" s="143" t="s">
        <v>73</v>
      </c>
      <c r="D27" s="129"/>
      <c r="E27" s="100"/>
      <c r="F27" s="5" t="s">
        <v>103</v>
      </c>
      <c r="G27" s="5"/>
      <c r="H27" s="38"/>
      <c r="I27" s="5"/>
      <c r="J27" s="35"/>
      <c r="K27" s="5"/>
      <c r="L27" s="101"/>
      <c r="M27" s="81"/>
      <c r="N27" s="81"/>
    </row>
    <row r="28" spans="1:14" s="6" customFormat="1" x14ac:dyDescent="0.2">
      <c r="A28" s="46" t="s">
        <v>104</v>
      </c>
      <c r="B28" s="93">
        <f>B27*C28</f>
        <v>0</v>
      </c>
      <c r="C28" s="51">
        <v>0.04</v>
      </c>
      <c r="D28" s="102"/>
      <c r="E28" s="100"/>
      <c r="F28" s="5"/>
      <c r="G28" s="5"/>
      <c r="H28" s="38"/>
      <c r="I28" s="5"/>
      <c r="J28" s="35"/>
      <c r="K28" s="5"/>
      <c r="L28" s="101"/>
      <c r="M28" s="81"/>
      <c r="N28" s="81"/>
    </row>
    <row r="29" spans="1:14" x14ac:dyDescent="0.2">
      <c r="A29" s="1" t="s">
        <v>105</v>
      </c>
      <c r="B29" s="20">
        <v>0.12</v>
      </c>
      <c r="C29" s="2" t="s">
        <v>106</v>
      </c>
    </row>
    <row r="30" spans="1:14" ht="13.5" thickBot="1" x14ac:dyDescent="0.25">
      <c r="A30" s="42" t="s">
        <v>107</v>
      </c>
      <c r="B30" s="49"/>
      <c r="C30" s="97">
        <f>B27*B29/12</f>
        <v>0</v>
      </c>
      <c r="D30" s="30"/>
      <c r="M30" s="103"/>
      <c r="N30" s="103"/>
    </row>
    <row r="31" spans="1:14" x14ac:dyDescent="0.2">
      <c r="A31" s="1" t="s">
        <v>108</v>
      </c>
      <c r="B31" s="142">
        <f>(C30*C31)+((C23+SUM(C24:C26))*(C31-1))</f>
        <v>461.25</v>
      </c>
      <c r="C31" s="120">
        <f>IF('Data Entry'!B4=0,3,'Data Entry'!B4+3)</f>
        <v>4</v>
      </c>
      <c r="D31" s="2" t="s">
        <v>109</v>
      </c>
      <c r="H31"/>
      <c r="I31"/>
      <c r="J31"/>
      <c r="K31"/>
      <c r="L31"/>
      <c r="M31"/>
      <c r="N31"/>
    </row>
    <row r="32" spans="1:14" ht="13.5" thickBot="1" x14ac:dyDescent="0.25">
      <c r="A32" s="1" t="s">
        <v>110</v>
      </c>
      <c r="B32" s="142">
        <f>'Buy and Hold Rental'!B19</f>
        <v>961.25</v>
      </c>
      <c r="C32" s="200"/>
      <c r="H32"/>
      <c r="I32"/>
      <c r="J32"/>
      <c r="K32"/>
      <c r="L32"/>
      <c r="M32"/>
      <c r="N32"/>
    </row>
    <row r="33" spans="1:14" s="6" customFormat="1" ht="18.75" thickBot="1" x14ac:dyDescent="0.3">
      <c r="A33" s="54" t="s">
        <v>111</v>
      </c>
      <c r="B33" s="55">
        <f ca="1">B2+B4+B6+B14+B22+B28+B31+B32-B27-B7</f>
        <v>52743.777777777781</v>
      </c>
      <c r="C33" s="100">
        <f ca="1">B33/B35</f>
        <v>1</v>
      </c>
      <c r="D33" s="5" t="s">
        <v>112</v>
      </c>
      <c r="E33" s="5"/>
      <c r="F33" s="5"/>
      <c r="G33" s="5"/>
    </row>
    <row r="34" spans="1:14" x14ac:dyDescent="0.2">
      <c r="D34" s="104"/>
      <c r="I34" s="5"/>
      <c r="J34" s="35"/>
    </row>
    <row r="35" spans="1:14" x14ac:dyDescent="0.2">
      <c r="A35" s="14" t="s">
        <v>36</v>
      </c>
      <c r="B35" s="105">
        <f ca="1">B2+B4+B6+B14+B22+B28+B31+B32</f>
        <v>52743.777777777781</v>
      </c>
      <c r="C35" s="106"/>
      <c r="E35" s="107"/>
      <c r="H35"/>
      <c r="I35"/>
      <c r="J35"/>
      <c r="K35"/>
      <c r="L35"/>
      <c r="M35"/>
      <c r="N35"/>
    </row>
    <row r="36" spans="1:14" x14ac:dyDescent="0.2">
      <c r="A36" s="112" t="s">
        <v>113</v>
      </c>
      <c r="B36" s="2">
        <f ca="1">IF(C36*(B35+B37+B38)&lt;1000,1000,C36*(B35+B37+B38))</f>
        <v>1170.9118666666668</v>
      </c>
      <c r="C36" s="89">
        <v>0.02</v>
      </c>
      <c r="D36" s="2" t="s">
        <v>114</v>
      </c>
      <c r="E36" s="107"/>
      <c r="H36"/>
      <c r="I36"/>
      <c r="J36"/>
      <c r="K36"/>
      <c r="L36"/>
      <c r="M36"/>
      <c r="N36"/>
    </row>
    <row r="37" spans="1:14" x14ac:dyDescent="0.2">
      <c r="A37" s="112" t="s">
        <v>115</v>
      </c>
      <c r="B37" s="2">
        <f ca="1">B33*C37</f>
        <v>5274.3777777777786</v>
      </c>
      <c r="C37" s="118">
        <v>0.1</v>
      </c>
      <c r="D37" s="2" t="s">
        <v>116</v>
      </c>
      <c r="E37" s="107"/>
      <c r="H37"/>
      <c r="I37"/>
      <c r="J37"/>
      <c r="K37"/>
      <c r="L37"/>
      <c r="M37"/>
      <c r="N37"/>
    </row>
    <row r="38" spans="1:14" x14ac:dyDescent="0.2">
      <c r="A38" s="112" t="s">
        <v>117</v>
      </c>
      <c r="B38" s="2">
        <f ca="1">B37*C38</f>
        <v>527.43777777777791</v>
      </c>
      <c r="C38" s="118">
        <v>0.1</v>
      </c>
      <c r="D38" s="2" t="s">
        <v>118</v>
      </c>
      <c r="E38" s="107"/>
      <c r="H38"/>
      <c r="I38"/>
      <c r="J38"/>
      <c r="K38"/>
      <c r="L38"/>
      <c r="M38"/>
      <c r="N38"/>
    </row>
    <row r="39" spans="1:14" ht="13.5" thickBot="1" x14ac:dyDescent="0.25">
      <c r="A39" s="112" t="s">
        <v>119</v>
      </c>
      <c r="B39" s="2">
        <f>C39*(C30+'Amort Schedule - Flip'!C5)</f>
        <v>0</v>
      </c>
      <c r="C39" s="180">
        <f>12-C31</f>
        <v>8</v>
      </c>
      <c r="D39" s="2" t="s">
        <v>120</v>
      </c>
      <c r="E39" s="107"/>
      <c r="H39"/>
      <c r="I39"/>
      <c r="J39"/>
      <c r="K39"/>
      <c r="L39"/>
      <c r="M39"/>
      <c r="N39"/>
    </row>
    <row r="40" spans="1:14" s="6" customFormat="1" ht="13.5" thickBot="1" x14ac:dyDescent="0.25">
      <c r="A40" s="14" t="s">
        <v>121</v>
      </c>
      <c r="B40" s="5">
        <f ca="1">SUM(B35:B38)</f>
        <v>59716.505200000007</v>
      </c>
      <c r="C40" s="119"/>
      <c r="D40" s="5" t="s">
        <v>122</v>
      </c>
      <c r="E40" s="5"/>
      <c r="F40" s="5"/>
      <c r="G40" s="5"/>
    </row>
    <row r="41" spans="1:14" s="6" customFormat="1" x14ac:dyDescent="0.2">
      <c r="A41" s="14"/>
      <c r="B41" s="5"/>
      <c r="C41" s="5"/>
      <c r="D41" s="5"/>
      <c r="E41" s="5"/>
      <c r="F41" s="5"/>
      <c r="G41" s="5"/>
    </row>
    <row r="42" spans="1:14" x14ac:dyDescent="0.2">
      <c r="A42" s="1" t="s">
        <v>123</v>
      </c>
      <c r="B42" s="2">
        <f>'Data Entry'!B6</f>
        <v>70000</v>
      </c>
      <c r="H42"/>
      <c r="I42"/>
      <c r="J42"/>
      <c r="K42"/>
      <c r="L42"/>
      <c r="M42"/>
      <c r="N42"/>
    </row>
    <row r="43" spans="1:14" x14ac:dyDescent="0.2">
      <c r="A43" s="1" t="s">
        <v>124</v>
      </c>
      <c r="B43" s="2">
        <f ca="1">-B35</f>
        <v>-52743.777777777781</v>
      </c>
      <c r="H43"/>
      <c r="I43"/>
      <c r="J43"/>
      <c r="K43"/>
      <c r="L43"/>
      <c r="M43"/>
      <c r="N43"/>
    </row>
    <row r="44" spans="1:14" x14ac:dyDescent="0.2">
      <c r="A44" s="1" t="s">
        <v>125</v>
      </c>
      <c r="B44" s="2">
        <f>IF(B42*C36&lt;1000,-1000,-B42*C36)</f>
        <v>-1400</v>
      </c>
      <c r="H44"/>
      <c r="I44"/>
      <c r="J44"/>
      <c r="K44"/>
      <c r="L44"/>
      <c r="M44"/>
      <c r="N44"/>
    </row>
    <row r="45" spans="1:14" x14ac:dyDescent="0.2">
      <c r="A45" s="1" t="s">
        <v>126</v>
      </c>
      <c r="B45" s="2">
        <f ca="1">-B38</f>
        <v>-527.43777777777791</v>
      </c>
      <c r="H45"/>
      <c r="I45"/>
      <c r="J45"/>
      <c r="K45"/>
      <c r="L45"/>
      <c r="M45"/>
      <c r="N45"/>
    </row>
    <row r="46" spans="1:14" x14ac:dyDescent="0.2">
      <c r="A46" s="1" t="s">
        <v>127</v>
      </c>
      <c r="B46" s="2">
        <f>-B39</f>
        <v>0</v>
      </c>
      <c r="H46"/>
      <c r="I46"/>
      <c r="J46"/>
      <c r="K46"/>
      <c r="L46"/>
      <c r="M46"/>
      <c r="N46"/>
    </row>
    <row r="47" spans="1:14" ht="13.5" thickBot="1" x14ac:dyDescent="0.25">
      <c r="A47" s="112" t="s">
        <v>128</v>
      </c>
      <c r="B47" s="2">
        <f ca="1">-B57</f>
        <v>-5027.2033333333311</v>
      </c>
      <c r="H47"/>
      <c r="I47"/>
      <c r="J47"/>
      <c r="K47"/>
      <c r="L47"/>
      <c r="M47"/>
      <c r="N47"/>
    </row>
    <row r="48" spans="1:14" ht="18.75" thickBot="1" x14ac:dyDescent="0.3">
      <c r="A48" s="54" t="s">
        <v>129</v>
      </c>
      <c r="B48" s="55">
        <f ca="1">SUM(B42:B47)</f>
        <v>10301.581111111111</v>
      </c>
      <c r="H48"/>
      <c r="I48"/>
      <c r="J48"/>
      <c r="K48"/>
      <c r="L48"/>
      <c r="M48"/>
      <c r="N48"/>
    </row>
    <row r="49" spans="1:14" ht="18" x14ac:dyDescent="0.25">
      <c r="A49" s="54"/>
      <c r="B49" s="108"/>
      <c r="H49"/>
      <c r="I49"/>
      <c r="J49"/>
      <c r="K49"/>
      <c r="L49"/>
      <c r="M49"/>
      <c r="N49"/>
    </row>
    <row r="50" spans="1:14" s="6" customFormat="1" ht="18" x14ac:dyDescent="0.25">
      <c r="A50" s="54" t="s">
        <v>130</v>
      </c>
      <c r="B50" s="109">
        <f ca="1">B48/B33</f>
        <v>0.1953136757574353</v>
      </c>
      <c r="C50" s="5"/>
      <c r="D50" s="5"/>
      <c r="E50" s="5"/>
      <c r="F50" s="5"/>
      <c r="G50" s="5"/>
    </row>
    <row r="51" spans="1:14" ht="18" x14ac:dyDescent="0.25">
      <c r="A51" s="110" t="s">
        <v>131</v>
      </c>
      <c r="B51" s="111">
        <f ca="1">B50*12/(C31)</f>
        <v>0.5859410272723059</v>
      </c>
      <c r="H51"/>
      <c r="I51"/>
      <c r="J51"/>
      <c r="K51"/>
      <c r="L51"/>
      <c r="M51"/>
      <c r="N51"/>
    </row>
    <row r="54" spans="1:14" x14ac:dyDescent="0.2">
      <c r="B54" s="2">
        <f ca="1">SUM(B42:B46)</f>
        <v>15328.784444444442</v>
      </c>
      <c r="C54" s="2" t="s">
        <v>132</v>
      </c>
    </row>
    <row r="55" spans="1:14" x14ac:dyDescent="0.2">
      <c r="B55" s="30">
        <f ca="1">-B37</f>
        <v>-5274.3777777777786</v>
      </c>
      <c r="C55" s="2" t="s">
        <v>133</v>
      </c>
    </row>
    <row r="56" spans="1:14" x14ac:dyDescent="0.2">
      <c r="B56" s="2">
        <f ca="1">IF(SUM(B54:B55)&gt;0,SUM(B54:B55),0)</f>
        <v>10054.406666666662</v>
      </c>
      <c r="C56" s="2" t="s">
        <v>134</v>
      </c>
    </row>
    <row r="57" spans="1:14" x14ac:dyDescent="0.2">
      <c r="B57" s="2">
        <f ca="1">B56/2</f>
        <v>5027.2033333333311</v>
      </c>
      <c r="C57" s="2" t="s">
        <v>135</v>
      </c>
    </row>
    <row r="58" spans="1:14" ht="13.5" thickBot="1" x14ac:dyDescent="0.25">
      <c r="B58" s="2">
        <f ca="1">B57</f>
        <v>5027.2033333333311</v>
      </c>
      <c r="C58" s="2" t="s">
        <v>136</v>
      </c>
    </row>
    <row r="59" spans="1:14" ht="18.75" thickBot="1" x14ac:dyDescent="0.3">
      <c r="B59" s="55">
        <f ca="1">B37+B58</f>
        <v>10301.581111111111</v>
      </c>
      <c r="C59" s="177" t="s">
        <v>137</v>
      </c>
      <c r="D59" s="54"/>
    </row>
  </sheetData>
  <mergeCells count="1">
    <mergeCell ref="G7:L9"/>
  </mergeCells>
  <conditionalFormatting sqref="C40">
    <cfRule type="expression" dxfId="0" priority="1" stopIfTrue="1">
      <formula>$B$1&gt;$B$40</formula>
    </cfRule>
  </conditionalFormatting>
  <printOptions gridLines="1"/>
  <pageMargins left="0.25" right="0.25" top="0.75" bottom="0.25" header="0.25" footer="0.25"/>
  <pageSetup scale="77" fitToHeight="2" orientation="landscape" r:id="rId1"/>
  <headerFooter alignWithMargins="0">
    <oddHeader>&amp;C&amp;"Tahoma,Bold"&amp;14&amp;F: &amp;A</oddHeader>
    <oddFooter>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Is there a 1st mortgage?" prompt="Select Yes or No" xr:uid="{64399692-E6A4-4A3E-8834-C2F3D389B1E9}">
          <x14:formula1>
            <xm:f>'Data Validation'!$A$1:$A$2</xm:f>
          </x14:formula1>
          <xm:sqref>C7</xm:sqref>
        </x14:dataValidation>
        <x14:dataValidation type="list" allowBlank="1" showInputMessage="1" showErrorMessage="1" promptTitle="Is there a 2nd mortgage?" prompt="Select Yes or No" xr:uid="{4269208E-55FE-4C8B-AF10-E4AAD10245A8}">
          <x14:formula1>
            <xm:f>'Data Validation'!$A$1:$A$2</xm:f>
          </x14:formula1>
          <xm:sqref>C27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73"/>
  <sheetViews>
    <sheetView topLeftCell="A2" zoomScaleNormal="100" workbookViewId="0">
      <selection activeCell="B20" sqref="B20"/>
    </sheetView>
  </sheetViews>
  <sheetFormatPr defaultColWidth="8.42578125" defaultRowHeight="12.75" x14ac:dyDescent="0.2"/>
  <cols>
    <col min="1" max="1" width="37.28515625" style="1" customWidth="1"/>
    <col min="2" max="2" width="15.140625" style="2" customWidth="1"/>
    <col min="3" max="3" width="11.7109375" style="2" customWidth="1"/>
    <col min="4" max="4" width="10.42578125" style="2" customWidth="1"/>
    <col min="5" max="5" width="16.28515625" style="2" customWidth="1"/>
    <col min="6" max="6" width="15.28515625" style="2" customWidth="1"/>
    <col min="7" max="7" width="13.28515625" style="2" customWidth="1"/>
    <col min="8" max="8" width="11.7109375" style="3" customWidth="1"/>
    <col min="9" max="9" width="12.28515625" style="2" customWidth="1"/>
    <col min="10" max="10" width="12.7109375" style="24" customWidth="1"/>
    <col min="11" max="11" width="11.5703125" style="2" customWidth="1"/>
    <col min="12" max="12" width="11.85546875" style="25" customWidth="1"/>
    <col min="13" max="13" width="11.85546875" bestFit="1" customWidth="1"/>
    <col min="14" max="238" width="8.42578125" customWidth="1"/>
  </cols>
  <sheetData>
    <row r="1" spans="1:12" ht="13.5" thickBot="1" x14ac:dyDescent="0.25">
      <c r="A1" s="14" t="s">
        <v>57</v>
      </c>
      <c r="B1" s="5">
        <f>'Purchase &amp; Flip'!B1</f>
        <v>70000</v>
      </c>
      <c r="E1" s="14" t="s">
        <v>59</v>
      </c>
      <c r="F1" s="32" t="str">
        <f>'Purchase &amp; Flip'!G1</f>
        <v>1234 Sample Rd</v>
      </c>
      <c r="H1" s="2"/>
      <c r="J1" s="2"/>
      <c r="L1" s="18"/>
    </row>
    <row r="2" spans="1:12" ht="13.5" thickBot="1" x14ac:dyDescent="0.25">
      <c r="A2" s="14" t="s">
        <v>60</v>
      </c>
      <c r="B2" s="113">
        <v>0</v>
      </c>
      <c r="C2" s="68">
        <v>0</v>
      </c>
      <c r="D2" s="36" t="s">
        <v>61</v>
      </c>
      <c r="E2" s="14" t="s">
        <v>62</v>
      </c>
      <c r="F2" s="32">
        <f>'Purchase &amp; Flip'!G2</f>
        <v>0</v>
      </c>
      <c r="H2" s="2"/>
      <c r="J2" s="2"/>
      <c r="L2" s="16"/>
    </row>
    <row r="3" spans="1:12" x14ac:dyDescent="0.2">
      <c r="A3" s="1" t="s">
        <v>138</v>
      </c>
      <c r="B3" s="15">
        <f ca="1">'Purchase &amp; Flip'!B35</f>
        <v>52743.777777777781</v>
      </c>
      <c r="C3" s="114">
        <f ca="1">(B1-B3)/B1</f>
        <v>0.24651746031746027</v>
      </c>
      <c r="D3" s="2" t="s">
        <v>64</v>
      </c>
      <c r="E3" s="14" t="s">
        <v>65</v>
      </c>
      <c r="F3" s="71">
        <f>'Purchase &amp; Flip'!G3</f>
        <v>0</v>
      </c>
      <c r="G3" s="32"/>
      <c r="H3" s="32"/>
      <c r="I3" s="32"/>
      <c r="J3" s="32"/>
      <c r="K3" s="32"/>
      <c r="L3" s="16"/>
    </row>
    <row r="4" spans="1:12" ht="13.5" thickBot="1" x14ac:dyDescent="0.25">
      <c r="A4" s="14" t="s">
        <v>68</v>
      </c>
      <c r="B4" s="44">
        <v>0</v>
      </c>
      <c r="C4" s="38">
        <f>'Purchase &amp; Flip'!C5</f>
        <v>1</v>
      </c>
      <c r="D4" s="6"/>
      <c r="E4" s="14" t="s">
        <v>67</v>
      </c>
      <c r="F4" s="32">
        <f>'Purchase &amp; Flip'!G4</f>
        <v>0</v>
      </c>
      <c r="H4" s="2"/>
      <c r="J4" s="2"/>
      <c r="L4" s="17"/>
    </row>
    <row r="5" spans="1:12" ht="13.15" customHeight="1" thickBot="1" x14ac:dyDescent="0.25">
      <c r="A5" s="1" t="s">
        <v>72</v>
      </c>
      <c r="B5" s="178">
        <f>'Purchase &amp; Flip'!B7</f>
        <v>0</v>
      </c>
      <c r="C5" s="115"/>
      <c r="E5" s="14" t="s">
        <v>69</v>
      </c>
      <c r="F5" s="5" t="s">
        <v>21</v>
      </c>
      <c r="G5" s="5" t="s">
        <v>22</v>
      </c>
      <c r="H5" s="5" t="s">
        <v>70</v>
      </c>
      <c r="I5" s="5" t="s">
        <v>26</v>
      </c>
      <c r="J5" s="5" t="s">
        <v>27</v>
      </c>
      <c r="K5" s="5" t="s">
        <v>28</v>
      </c>
      <c r="L5" s="16"/>
    </row>
    <row r="6" spans="1:12" ht="13.5" thickBot="1" x14ac:dyDescent="0.25">
      <c r="A6" s="1" t="s">
        <v>75</v>
      </c>
      <c r="B6" s="3">
        <f>'Purchase &amp; Flip'!B8</f>
        <v>0.1</v>
      </c>
      <c r="C6" s="2" t="s">
        <v>139</v>
      </c>
      <c r="E6" s="29"/>
      <c r="F6" s="33">
        <f>'Purchase &amp; Flip'!G6</f>
        <v>3</v>
      </c>
      <c r="G6" s="39">
        <f>'Purchase &amp; Flip'!H6</f>
        <v>1</v>
      </c>
      <c r="H6" s="33">
        <f>'Purchase &amp; Flip'!I6</f>
        <v>1000</v>
      </c>
      <c r="I6" s="33">
        <f>'Purchase &amp; Flip'!J6</f>
        <v>3500</v>
      </c>
      <c r="J6" s="34">
        <f>'Purchase &amp; Flip'!K6</f>
        <v>1950</v>
      </c>
      <c r="K6" s="39">
        <f>'Purchase &amp; Flip'!L6</f>
        <v>1.5</v>
      </c>
      <c r="L6" s="16"/>
    </row>
    <row r="7" spans="1:12" ht="13.5" thickBot="1" x14ac:dyDescent="0.25">
      <c r="A7" s="1" t="s">
        <v>77</v>
      </c>
      <c r="B7" s="116">
        <f>'Purchase &amp; Flip'!B9</f>
        <v>30</v>
      </c>
      <c r="E7" s="4"/>
      <c r="F7" s="121"/>
      <c r="G7" s="123">
        <f>B5/B1</f>
        <v>0</v>
      </c>
      <c r="H7" s="38" t="s">
        <v>140</v>
      </c>
      <c r="I7" s="121"/>
      <c r="J7" s="121"/>
      <c r="K7" s="121"/>
      <c r="L7" s="16"/>
    </row>
    <row r="8" spans="1:12" ht="13.15" customHeight="1" thickBot="1" x14ac:dyDescent="0.25">
      <c r="A8" s="1" t="s">
        <v>78</v>
      </c>
      <c r="B8" s="26">
        <f>'Purchase &amp; Flip'!B10</f>
        <v>0</v>
      </c>
      <c r="C8" s="13" t="s">
        <v>141</v>
      </c>
      <c r="D8" s="12"/>
      <c r="E8" s="4"/>
      <c r="F8" s="121"/>
      <c r="G8" s="121"/>
      <c r="H8" s="121"/>
      <c r="I8" s="121"/>
      <c r="J8" s="121"/>
      <c r="K8" s="121"/>
      <c r="L8" s="16"/>
    </row>
    <row r="9" spans="1:12" ht="13.5" thickBot="1" x14ac:dyDescent="0.25">
      <c r="A9" s="14" t="s">
        <v>142</v>
      </c>
      <c r="B9" s="5"/>
      <c r="C9" s="70">
        <f>'Purchase &amp; Flip'!C23+SUM(C10:C13)</f>
        <v>263.75</v>
      </c>
      <c r="D9" s="47"/>
      <c r="F9" s="121"/>
      <c r="G9" s="121"/>
      <c r="H9" s="121"/>
      <c r="I9" s="121"/>
      <c r="J9" s="121"/>
      <c r="K9" s="121"/>
      <c r="L9" s="40"/>
    </row>
    <row r="10" spans="1:12" x14ac:dyDescent="0.2">
      <c r="A10" s="1" t="s">
        <v>96</v>
      </c>
      <c r="B10" s="2">
        <f>'Purchase &amp; Flip'!B24</f>
        <v>845</v>
      </c>
      <c r="C10" s="2">
        <f>B10/12</f>
        <v>70.416666666666671</v>
      </c>
      <c r="D10" s="26">
        <f>'Purchase &amp; Flip'!D24</f>
        <v>0.02</v>
      </c>
      <c r="E10" s="2" t="s">
        <v>101</v>
      </c>
    </row>
    <row r="11" spans="1:12" ht="13.5" thickBot="1" x14ac:dyDescent="0.25">
      <c r="A11" s="1" t="s">
        <v>143</v>
      </c>
      <c r="B11" s="2">
        <f>C11*12</f>
        <v>0</v>
      </c>
      <c r="C11" s="2">
        <f>D11</f>
        <v>0</v>
      </c>
      <c r="D11" s="65">
        <v>0</v>
      </c>
      <c r="E11" s="2" t="s">
        <v>144</v>
      </c>
    </row>
    <row r="12" spans="1:12" ht="13.5" thickBot="1" x14ac:dyDescent="0.25">
      <c r="A12" s="1" t="s">
        <v>145</v>
      </c>
      <c r="B12" s="2">
        <f>C12*12</f>
        <v>1320</v>
      </c>
      <c r="C12" s="2">
        <f>D12*C23</f>
        <v>110</v>
      </c>
      <c r="D12" s="173">
        <v>0.11</v>
      </c>
      <c r="E12" s="2" t="s">
        <v>146</v>
      </c>
    </row>
    <row r="13" spans="1:12" x14ac:dyDescent="0.2">
      <c r="A13" s="42" t="s">
        <v>100</v>
      </c>
      <c r="B13" s="30">
        <f>'Purchase &amp; Flip'!B26</f>
        <v>1000</v>
      </c>
      <c r="C13" s="30">
        <f>B13/12</f>
        <v>83.333333333333329</v>
      </c>
      <c r="D13" s="117">
        <f>'Purchase &amp; Flip'!D26</f>
        <v>2.3668639053254437E-2</v>
      </c>
      <c r="E13" s="2" t="s">
        <v>101</v>
      </c>
    </row>
    <row r="14" spans="1:12" s="6" customFormat="1" ht="13.5" thickBot="1" x14ac:dyDescent="0.25">
      <c r="A14" s="14" t="s">
        <v>102</v>
      </c>
      <c r="B14" s="44">
        <f>'Purchase &amp; Flip'!B27</f>
        <v>0</v>
      </c>
      <c r="C14" s="5"/>
      <c r="D14" s="174"/>
      <c r="F14" s="2"/>
      <c r="G14" s="2"/>
      <c r="H14" s="3"/>
      <c r="I14" s="2"/>
      <c r="J14" s="24"/>
      <c r="K14" s="2"/>
      <c r="L14" s="25"/>
    </row>
    <row r="15" spans="1:12" ht="13.5" thickBot="1" x14ac:dyDescent="0.25">
      <c r="A15" s="1" t="s">
        <v>105</v>
      </c>
      <c r="B15" s="3">
        <f>'Purchase &amp; Flip'!B29</f>
        <v>0.12</v>
      </c>
      <c r="C15" s="2" t="s">
        <v>147</v>
      </c>
      <c r="E15" s="37"/>
      <c r="F15" s="5"/>
      <c r="G15" s="123">
        <f>(B5+B14)/B1</f>
        <v>0</v>
      </c>
      <c r="H15" s="38" t="s">
        <v>148</v>
      </c>
      <c r="I15" s="5"/>
      <c r="J15" s="35"/>
      <c r="K15" s="5"/>
      <c r="L15" s="53"/>
    </row>
    <row r="16" spans="1:12" ht="13.5" thickBot="1" x14ac:dyDescent="0.25">
      <c r="A16" s="42" t="s">
        <v>107</v>
      </c>
      <c r="B16" s="49"/>
      <c r="C16" s="70">
        <f>'Purchase &amp; Flip'!C30</f>
        <v>0</v>
      </c>
      <c r="D16" s="30"/>
    </row>
    <row r="17" spans="1:12" x14ac:dyDescent="0.2">
      <c r="A17" s="1" t="s">
        <v>108</v>
      </c>
      <c r="B17" s="48">
        <f>(C16+C9-C12)*C17</f>
        <v>153.75</v>
      </c>
      <c r="C17" s="31">
        <v>1</v>
      </c>
      <c r="D17" s="2" t="s">
        <v>109</v>
      </c>
    </row>
    <row r="18" spans="1:12" x14ac:dyDescent="0.2">
      <c r="A18" s="1" t="s">
        <v>110</v>
      </c>
      <c r="B18" s="48">
        <f>250+(C18*C23)</f>
        <v>1250</v>
      </c>
      <c r="C18" s="140">
        <v>1</v>
      </c>
      <c r="D18" s="2" t="s">
        <v>109</v>
      </c>
      <c r="H18"/>
      <c r="I18"/>
      <c r="J18"/>
      <c r="K18"/>
      <c r="L18"/>
    </row>
    <row r="19" spans="1:12" x14ac:dyDescent="0.2">
      <c r="A19" s="1" t="s">
        <v>47</v>
      </c>
      <c r="B19" s="48">
        <f>500+((C9-C12)*C19)</f>
        <v>961.25</v>
      </c>
      <c r="C19" s="31">
        <v>3</v>
      </c>
      <c r="D19" s="2" t="s">
        <v>109</v>
      </c>
      <c r="H19"/>
      <c r="I19"/>
      <c r="J19"/>
      <c r="K19"/>
      <c r="L19"/>
    </row>
    <row r="20" spans="1:12" ht="13.5" thickBot="1" x14ac:dyDescent="0.25">
      <c r="A20" s="1" t="s">
        <v>48</v>
      </c>
      <c r="B20" s="184">
        <f ca="1">(('Purchase &amp; Flip'!B33-B18)*(1+C20))</f>
        <v>51493.777777777781</v>
      </c>
      <c r="C20" s="141">
        <v>0</v>
      </c>
      <c r="D20" s="2" t="s">
        <v>149</v>
      </c>
      <c r="H20"/>
      <c r="I20"/>
      <c r="J20"/>
      <c r="K20"/>
      <c r="L20"/>
    </row>
    <row r="21" spans="1:12" s="6" customFormat="1" ht="18.75" thickBot="1" x14ac:dyDescent="0.3">
      <c r="A21" s="54" t="s">
        <v>150</v>
      </c>
      <c r="B21" s="55">
        <f ca="1">SUM(B17:B20)</f>
        <v>53858.777777777781</v>
      </c>
      <c r="C21" s="37">
        <f ca="1">B21/(B3+B17+B18)</f>
        <v>0.9946673465650171</v>
      </c>
      <c r="D21" s="5" t="s">
        <v>112</v>
      </c>
      <c r="E21" s="2"/>
      <c r="F21" s="2"/>
      <c r="G21" s="2"/>
      <c r="H21"/>
      <c r="I21"/>
      <c r="J21"/>
      <c r="K21"/>
      <c r="L21"/>
    </row>
    <row r="22" spans="1:12" ht="13.5" thickBot="1" x14ac:dyDescent="0.25">
      <c r="D22" s="26"/>
      <c r="E22" s="5"/>
      <c r="F22" s="5"/>
      <c r="G22" s="5"/>
      <c r="H22" s="6"/>
      <c r="I22" s="6"/>
      <c r="J22" s="6"/>
      <c r="K22" s="6"/>
      <c r="L22" s="6"/>
    </row>
    <row r="23" spans="1:12" ht="13.5" thickBot="1" x14ac:dyDescent="0.25">
      <c r="A23" s="1" t="s">
        <v>151</v>
      </c>
      <c r="B23" s="2">
        <f>(C9+C16)</f>
        <v>263.75</v>
      </c>
      <c r="C23" s="135">
        <f>'Data Entry'!B2</f>
        <v>1000</v>
      </c>
      <c r="D23" s="2" t="s">
        <v>152</v>
      </c>
      <c r="I23" s="5"/>
      <c r="J23" s="35"/>
    </row>
    <row r="24" spans="1:12" ht="13.5" thickBot="1" x14ac:dyDescent="0.25">
      <c r="A24" s="1" t="s">
        <v>153</v>
      </c>
      <c r="B24" s="2">
        <f>B23*C24</f>
        <v>736.25</v>
      </c>
      <c r="C24" s="136">
        <f>(C23-B23)/B23</f>
        <v>2.7914691943127963</v>
      </c>
      <c r="D24" s="13" t="s">
        <v>154</v>
      </c>
    </row>
    <row r="25" spans="1:12" s="6" customFormat="1" ht="13.5" thickBot="1" x14ac:dyDescent="0.25">
      <c r="A25" s="14" t="s">
        <v>155</v>
      </c>
      <c r="B25" s="41">
        <f>SUM(B23:B24)</f>
        <v>1000</v>
      </c>
      <c r="C25" s="133">
        <f ca="1">B25/B3</f>
        <v>1.8959582383598697E-2</v>
      </c>
      <c r="D25" s="2" t="s">
        <v>156</v>
      </c>
      <c r="E25" s="2"/>
      <c r="F25" s="2"/>
      <c r="G25" s="2"/>
      <c r="H25" s="3"/>
      <c r="I25" s="2"/>
      <c r="J25" s="24"/>
      <c r="K25" s="2"/>
      <c r="L25" s="25"/>
    </row>
    <row r="26" spans="1:12" s="6" customFormat="1" x14ac:dyDescent="0.2">
      <c r="A26" s="1" t="s">
        <v>157</v>
      </c>
      <c r="B26" s="5">
        <f>-B25*C26</f>
        <v>-50</v>
      </c>
      <c r="C26" s="64">
        <f>50/C23</f>
        <v>0.05</v>
      </c>
      <c r="D26" s="13" t="s">
        <v>158</v>
      </c>
      <c r="E26" s="5"/>
      <c r="F26" s="5"/>
      <c r="G26" s="5"/>
      <c r="H26" s="38"/>
      <c r="I26" s="5"/>
      <c r="J26" s="35"/>
      <c r="K26" s="5"/>
      <c r="L26" s="53"/>
    </row>
    <row r="27" spans="1:12" s="6" customFormat="1" ht="13.5" thickBot="1" x14ac:dyDescent="0.25">
      <c r="A27" s="1" t="s">
        <v>159</v>
      </c>
      <c r="B27" s="5">
        <f>-B25*C27</f>
        <v>-50</v>
      </c>
      <c r="C27" s="64">
        <f>C26</f>
        <v>0.05</v>
      </c>
      <c r="D27" s="13" t="s">
        <v>160</v>
      </c>
      <c r="E27" s="5"/>
      <c r="F27" s="5"/>
      <c r="G27" s="5"/>
      <c r="H27" s="38"/>
      <c r="I27" s="5"/>
      <c r="J27" s="35"/>
      <c r="K27" s="5"/>
      <c r="L27" s="132"/>
    </row>
    <row r="28" spans="1:12" s="6" customFormat="1" ht="13.5" thickBot="1" x14ac:dyDescent="0.25">
      <c r="A28" s="14" t="s">
        <v>161</v>
      </c>
      <c r="B28" s="41">
        <f>SUM(B25:B27)</f>
        <v>900</v>
      </c>
      <c r="C28" s="5"/>
      <c r="D28" s="5"/>
      <c r="E28" s="5"/>
      <c r="F28" s="5"/>
      <c r="G28" s="5"/>
      <c r="H28" s="38"/>
      <c r="I28" s="5"/>
      <c r="J28" s="35"/>
      <c r="K28" s="5"/>
      <c r="L28" s="132"/>
    </row>
    <row r="29" spans="1:12" ht="13.5" thickBot="1" x14ac:dyDescent="0.25">
      <c r="A29" s="1" t="s">
        <v>162</v>
      </c>
      <c r="B29" s="8">
        <v>0.05</v>
      </c>
      <c r="E29" s="5"/>
      <c r="F29" s="122">
        <f ca="1">K38</f>
        <v>0.11291990369876774</v>
      </c>
      <c r="G29" s="2" t="s">
        <v>163</v>
      </c>
      <c r="H29" s="38"/>
      <c r="I29" s="5"/>
      <c r="J29" s="35"/>
      <c r="K29" s="5"/>
      <c r="L29" s="132"/>
    </row>
    <row r="30" spans="1:12" ht="13.5" thickBot="1" x14ac:dyDescent="0.25">
      <c r="A30" s="1" t="s">
        <v>164</v>
      </c>
      <c r="B30" s="8">
        <v>3.7999999999999999E-2</v>
      </c>
      <c r="F30" s="183">
        <f ca="1">F34/B3</f>
        <v>0.16750791035909449</v>
      </c>
      <c r="G30" s="2" t="s">
        <v>18</v>
      </c>
    </row>
    <row r="31" spans="1:12" ht="13.5" thickBot="1" x14ac:dyDescent="0.25">
      <c r="A31" s="1" t="s">
        <v>165</v>
      </c>
      <c r="B31" s="3">
        <f>1/27.5</f>
        <v>3.6363636363636362E-2</v>
      </c>
      <c r="F31" s="122">
        <f ca="1">(B28-SUM(C10:C13))*12/B3</f>
        <v>0.14475641149877605</v>
      </c>
      <c r="G31" s="2" t="s">
        <v>19</v>
      </c>
    </row>
    <row r="32" spans="1:12" ht="13.5" thickBot="1" x14ac:dyDescent="0.25">
      <c r="A32" s="1" t="s">
        <v>166</v>
      </c>
      <c r="B32" s="8">
        <v>0.21</v>
      </c>
      <c r="F32" s="2">
        <f>C23*12</f>
        <v>12000</v>
      </c>
      <c r="G32" s="2" t="s">
        <v>14</v>
      </c>
    </row>
    <row r="33" spans="1:13" s="6" customFormat="1" ht="18.75" thickBot="1" x14ac:dyDescent="0.3">
      <c r="A33" s="54" t="s">
        <v>111</v>
      </c>
      <c r="B33" s="55">
        <f ca="1">B21</f>
        <v>53858.777777777781</v>
      </c>
      <c r="C33" s="100">
        <f ca="1">B33/B3</f>
        <v>1.0211399343577126</v>
      </c>
      <c r="D33" s="5" t="s">
        <v>112</v>
      </c>
      <c r="E33" s="2"/>
      <c r="F33" s="2">
        <f>-SUM(C10:C13)*12</f>
        <v>-3165</v>
      </c>
      <c r="G33" s="2" t="s">
        <v>15</v>
      </c>
      <c r="H33" s="3"/>
      <c r="I33" s="5"/>
      <c r="J33" s="35"/>
      <c r="K33" s="2"/>
      <c r="L33" s="25"/>
    </row>
    <row r="34" spans="1:13" x14ac:dyDescent="0.2">
      <c r="E34" s="5"/>
      <c r="F34" s="182">
        <f>SUM(F32:F33)</f>
        <v>8835</v>
      </c>
      <c r="G34" s="2" t="s">
        <v>16</v>
      </c>
      <c r="H34" s="38"/>
      <c r="I34" s="5"/>
      <c r="J34" s="29"/>
      <c r="K34" s="6"/>
      <c r="L34" s="53"/>
    </row>
    <row r="35" spans="1:13" x14ac:dyDescent="0.2">
      <c r="E35" s="5"/>
      <c r="F35" s="5">
        <f>(B28-SUM(C10:C13))*12</f>
        <v>7635</v>
      </c>
      <c r="G35" s="5" t="s">
        <v>17</v>
      </c>
      <c r="H35" s="38"/>
      <c r="I35" s="5"/>
      <c r="J35" s="29"/>
      <c r="K35" s="6"/>
      <c r="L35" s="53"/>
    </row>
    <row r="36" spans="1:13" s="56" customFormat="1" ht="38.25" customHeight="1" x14ac:dyDescent="0.2">
      <c r="A36" s="1"/>
      <c r="B36" s="2"/>
      <c r="C36" s="2"/>
      <c r="D36" s="2"/>
      <c r="E36" s="2"/>
      <c r="F36" s="2"/>
      <c r="G36" s="2"/>
      <c r="H36" s="3"/>
      <c r="I36" s="2"/>
      <c r="J36" s="24"/>
      <c r="K36" s="2"/>
      <c r="L36" s="25"/>
    </row>
    <row r="37" spans="1:13" ht="26.25" thickBot="1" x14ac:dyDescent="0.25">
      <c r="A37" s="56" t="s">
        <v>167</v>
      </c>
      <c r="B37" s="57" t="s">
        <v>168</v>
      </c>
      <c r="C37" s="57" t="s">
        <v>169</v>
      </c>
      <c r="D37" s="57" t="s">
        <v>170</v>
      </c>
      <c r="E37" s="57" t="s">
        <v>171</v>
      </c>
      <c r="F37" s="57" t="s">
        <v>172</v>
      </c>
      <c r="G37" s="57" t="s">
        <v>173</v>
      </c>
      <c r="H37" s="57" t="s">
        <v>174</v>
      </c>
      <c r="I37" s="57" t="s">
        <v>175</v>
      </c>
      <c r="J37" s="57" t="s">
        <v>176</v>
      </c>
      <c r="K37" s="58" t="s">
        <v>177</v>
      </c>
      <c r="L37" s="58" t="s">
        <v>178</v>
      </c>
      <c r="M37" s="59" t="s">
        <v>179</v>
      </c>
    </row>
    <row r="38" spans="1:13" ht="13.5" thickBot="1" x14ac:dyDescent="0.25">
      <c r="A38" s="1">
        <v>1</v>
      </c>
      <c r="B38" s="2">
        <f>C23*12</f>
        <v>12000</v>
      </c>
      <c r="C38" s="2">
        <f>('Amort Schedule - Flip'!$B$5+$C$16)*12</f>
        <v>0</v>
      </c>
      <c r="D38" s="2">
        <f>SUM($C$10:$C$13)*12</f>
        <v>3165</v>
      </c>
      <c r="E38" s="2">
        <f>'Amort Schedule - Flip'!E16+('Buy and Hold Rental'!$C$16*12)</f>
        <v>0</v>
      </c>
      <c r="F38" s="2">
        <f ca="1">$B$3*$B$31*75%</f>
        <v>1438.4666666666667</v>
      </c>
      <c r="G38" s="2">
        <f t="shared" ref="G38:G67" ca="1" si="0">B38-D38-E38-F38</f>
        <v>7396.5333333333328</v>
      </c>
      <c r="H38" s="2">
        <f t="shared" ref="H38:H67" ca="1" si="1">(B38-D38-E38-F38)*$B$32</f>
        <v>1553.2719999999999</v>
      </c>
      <c r="I38" s="2">
        <f t="shared" ref="I38:I67" ca="1" si="2">B38-C38-H38-D38</f>
        <v>7281.7279999999992</v>
      </c>
      <c r="J38" s="2">
        <f>-($C$26+$C$27)*B38</f>
        <v>-1200</v>
      </c>
      <c r="K38" s="67">
        <f ca="1">(I38+J38)/$B$33</f>
        <v>0.11291990369876774</v>
      </c>
      <c r="L38" s="24">
        <f ca="1">I38/($M$38-$B$14-'Amort Schedule - Flip'!G16)</f>
        <v>0.10402468571428571</v>
      </c>
      <c r="M38" s="60">
        <f>B1</f>
        <v>70000</v>
      </c>
    </row>
    <row r="39" spans="1:13" s="6" customFormat="1" x14ac:dyDescent="0.2">
      <c r="A39" s="1">
        <f>A38+1</f>
        <v>2</v>
      </c>
      <c r="B39" s="2">
        <f>B38*(1+$B$29)</f>
        <v>12600</v>
      </c>
      <c r="C39" s="2">
        <f>C38</f>
        <v>0</v>
      </c>
      <c r="D39" s="2">
        <f>(D38*(1+$B$29))</f>
        <v>3323.25</v>
      </c>
      <c r="E39" s="2">
        <f>'Amort Schedule - Flip'!E28-'Amort Schedule - Flip'!E16+('Buy and Hold Rental'!$C$16*12)</f>
        <v>0</v>
      </c>
      <c r="F39" s="2">
        <f ca="1">F38</f>
        <v>1438.4666666666667</v>
      </c>
      <c r="G39" s="2">
        <f t="shared" ca="1" si="0"/>
        <v>7838.2833333333328</v>
      </c>
      <c r="H39" s="2">
        <f t="shared" ca="1" si="1"/>
        <v>1646.0394999999999</v>
      </c>
      <c r="I39" s="2">
        <f t="shared" ca="1" si="2"/>
        <v>7630.710500000001</v>
      </c>
      <c r="J39" s="2">
        <f t="shared" ref="J39:J68" si="3">-($C$26+$C$27)*B39</f>
        <v>-1260</v>
      </c>
      <c r="K39" s="24">
        <f t="shared" ref="K39:K68" ca="1" si="4">(I39+J39)/$B$33</f>
        <v>0.11828546363019338</v>
      </c>
      <c r="L39" s="24">
        <f ca="1">I39/($M$38-$B$14-'Amort Schedule - Flip'!G28)</f>
        <v>0.10901015000000001</v>
      </c>
      <c r="M39" s="60">
        <f>M38*(1+$B$30)</f>
        <v>72660</v>
      </c>
    </row>
    <row r="40" spans="1:13" x14ac:dyDescent="0.2">
      <c r="A40" s="1">
        <f t="shared" ref="A40:A67" si="5">A39+1</f>
        <v>3</v>
      </c>
      <c r="B40" s="5">
        <f t="shared" ref="B40:B67" si="6">B39*(1+$B$29)</f>
        <v>13230</v>
      </c>
      <c r="C40" s="5">
        <f t="shared" ref="C40:C67" si="7">C39</f>
        <v>0</v>
      </c>
      <c r="D40" s="5">
        <f t="shared" ref="D40:D67" si="8">(D39*(1+$B$29))</f>
        <v>3489.4125000000004</v>
      </c>
      <c r="E40" s="5">
        <f>'Amort Schedule - Flip'!E40-'Amort Schedule - Flip'!E28+('Buy and Hold Rental'!$C$16*12)</f>
        <v>0</v>
      </c>
      <c r="F40" s="5">
        <f t="shared" ref="F40:F64" ca="1" si="9">F39</f>
        <v>1438.4666666666667</v>
      </c>
      <c r="G40" s="2">
        <f t="shared" ca="1" si="0"/>
        <v>8302.1208333333325</v>
      </c>
      <c r="H40" s="2">
        <f t="shared" ca="1" si="1"/>
        <v>1743.4453749999998</v>
      </c>
      <c r="I40" s="2">
        <f t="shared" ca="1" si="2"/>
        <v>7997.1421250000003</v>
      </c>
      <c r="J40" s="2">
        <f t="shared" si="3"/>
        <v>-1323</v>
      </c>
      <c r="K40" s="35">
        <f t="shared" ca="1" si="4"/>
        <v>0.12391930155819024</v>
      </c>
      <c r="L40" s="24">
        <f ca="1">I40/($M$38-$B$14-'Amort Schedule - Flip'!G40)</f>
        <v>0.1142448875</v>
      </c>
      <c r="M40" s="60">
        <f t="shared" ref="M40:M67" si="10">M39*(1+$B$30)</f>
        <v>75421.08</v>
      </c>
    </row>
    <row r="41" spans="1:13" s="6" customFormat="1" x14ac:dyDescent="0.2">
      <c r="A41" s="1">
        <f t="shared" si="5"/>
        <v>4</v>
      </c>
      <c r="B41" s="2">
        <f t="shared" si="6"/>
        <v>13891.5</v>
      </c>
      <c r="C41" s="2">
        <f t="shared" si="7"/>
        <v>0</v>
      </c>
      <c r="D41" s="2">
        <f t="shared" si="8"/>
        <v>3663.8831250000007</v>
      </c>
      <c r="E41" s="2">
        <f>'Amort Schedule - Flip'!E52-'Amort Schedule - Flip'!E40+('Buy and Hold Rental'!$C$16*12)</f>
        <v>0</v>
      </c>
      <c r="F41" s="2">
        <f t="shared" ca="1" si="9"/>
        <v>1438.4666666666667</v>
      </c>
      <c r="G41" s="2">
        <f t="shared" ca="1" si="0"/>
        <v>8789.1502083333326</v>
      </c>
      <c r="H41" s="2">
        <f t="shared" ca="1" si="1"/>
        <v>1845.7215437499997</v>
      </c>
      <c r="I41" s="2">
        <f t="shared" ca="1" si="2"/>
        <v>8381.8953312499998</v>
      </c>
      <c r="J41" s="2">
        <f t="shared" si="3"/>
        <v>-1389.15</v>
      </c>
      <c r="K41" s="24">
        <f t="shared" ca="1" si="4"/>
        <v>0.12983483138258697</v>
      </c>
      <c r="L41" s="24">
        <f ca="1">I41/($M$38-$B$14-'Amort Schedule - Flip'!G52)</f>
        <v>0.11974136187499999</v>
      </c>
      <c r="M41" s="60">
        <f t="shared" si="10"/>
        <v>78287.081040000005</v>
      </c>
    </row>
    <row r="42" spans="1:13" x14ac:dyDescent="0.2">
      <c r="A42" s="1">
        <f t="shared" si="5"/>
        <v>5</v>
      </c>
      <c r="B42" s="5">
        <f t="shared" si="6"/>
        <v>14586.075000000001</v>
      </c>
      <c r="C42" s="5">
        <f t="shared" si="7"/>
        <v>0</v>
      </c>
      <c r="D42" s="5">
        <f t="shared" si="8"/>
        <v>3847.0772812500009</v>
      </c>
      <c r="E42" s="2">
        <f>'Amort Schedule - Flip'!E64-'Amort Schedule - Flip'!E52+('Buy and Hold Rental'!$C$16*12)</f>
        <v>0</v>
      </c>
      <c r="F42" s="5">
        <f t="shared" ca="1" si="9"/>
        <v>1438.4666666666667</v>
      </c>
      <c r="G42" s="2">
        <f t="shared" ca="1" si="0"/>
        <v>9300.5310520833336</v>
      </c>
      <c r="H42" s="2">
        <f t="shared" ca="1" si="1"/>
        <v>1953.1115209375</v>
      </c>
      <c r="I42" s="2">
        <f t="shared" ca="1" si="2"/>
        <v>8785.8861978124987</v>
      </c>
      <c r="J42" s="2">
        <f t="shared" si="3"/>
        <v>-1458.6075000000001</v>
      </c>
      <c r="K42" s="35">
        <f t="shared" ca="1" si="4"/>
        <v>0.13604613769820351</v>
      </c>
      <c r="L42" s="24">
        <f ca="1">I42/($M$38-$B$14-'Amort Schedule - Flip'!G64)</f>
        <v>0.12551265996875</v>
      </c>
      <c r="M42" s="60">
        <f t="shared" si="10"/>
        <v>81261.990119520007</v>
      </c>
    </row>
    <row r="43" spans="1:13" x14ac:dyDescent="0.2">
      <c r="A43" s="1">
        <f t="shared" si="5"/>
        <v>6</v>
      </c>
      <c r="B43" s="2">
        <f t="shared" si="6"/>
        <v>15315.378750000002</v>
      </c>
      <c r="C43" s="2">
        <f t="shared" si="7"/>
        <v>0</v>
      </c>
      <c r="D43" s="2">
        <f t="shared" si="8"/>
        <v>4039.431145312501</v>
      </c>
      <c r="E43" s="2">
        <f>'Amort Schedule - Flip'!E76-'Amort Schedule - Flip'!E64+('Buy and Hold Rental'!$C$16*12)</f>
        <v>0</v>
      </c>
      <c r="F43" s="2">
        <f t="shared" ca="1" si="9"/>
        <v>1438.4666666666667</v>
      </c>
      <c r="G43" s="2">
        <f t="shared" ca="1" si="0"/>
        <v>9837.4809380208335</v>
      </c>
      <c r="H43" s="2">
        <f t="shared" ca="1" si="1"/>
        <v>2065.8709969843749</v>
      </c>
      <c r="I43" s="2">
        <f t="shared" ca="1" si="2"/>
        <v>9210.0766077031258</v>
      </c>
      <c r="J43" s="2">
        <f t="shared" si="3"/>
        <v>-1531.5378750000002</v>
      </c>
      <c r="K43" s="24">
        <f t="shared" ca="1" si="4"/>
        <v>0.14256800932960093</v>
      </c>
      <c r="L43" s="24">
        <f ca="1">I43/($M$38-$B$14-'Amort Schedule - Flip'!G76)</f>
        <v>0.13157252296718752</v>
      </c>
      <c r="M43" s="60">
        <f t="shared" si="10"/>
        <v>84349.94574406177</v>
      </c>
    </row>
    <row r="44" spans="1:13" x14ac:dyDescent="0.2">
      <c r="A44" s="1">
        <f t="shared" si="5"/>
        <v>7</v>
      </c>
      <c r="B44" s="2">
        <f t="shared" si="6"/>
        <v>16081.147687500003</v>
      </c>
      <c r="C44" s="2">
        <f t="shared" si="7"/>
        <v>0</v>
      </c>
      <c r="D44" s="2">
        <f t="shared" si="8"/>
        <v>4241.4027025781261</v>
      </c>
      <c r="E44" s="2">
        <f>'Amort Schedule - Flip'!E88-'Amort Schedule - Flip'!E76+('Buy and Hold Rental'!$C$16*12)</f>
        <v>0</v>
      </c>
      <c r="F44" s="2">
        <f t="shared" ca="1" si="9"/>
        <v>1438.4666666666667</v>
      </c>
      <c r="G44" s="2">
        <f t="shared" ca="1" si="0"/>
        <v>10401.278318255208</v>
      </c>
      <c r="H44" s="2">
        <f t="shared" ca="1" si="1"/>
        <v>2184.2684468335938</v>
      </c>
      <c r="I44" s="2">
        <f t="shared" ca="1" si="2"/>
        <v>9655.4765380882818</v>
      </c>
      <c r="J44" s="2">
        <f t="shared" si="3"/>
        <v>-1608.1147687500004</v>
      </c>
      <c r="K44" s="24">
        <f t="shared" ca="1" si="4"/>
        <v>0.14941597454256816</v>
      </c>
      <c r="L44" s="24">
        <f ca="1">I44/($M$38-$B$14-'Amort Schedule - Flip'!G88)</f>
        <v>0.13793537911554687</v>
      </c>
      <c r="M44" s="60">
        <f t="shared" si="10"/>
        <v>87555.24368233612</v>
      </c>
    </row>
    <row r="45" spans="1:13" x14ac:dyDescent="0.2">
      <c r="A45" s="1">
        <f t="shared" si="5"/>
        <v>8</v>
      </c>
      <c r="B45" s="2">
        <f t="shared" si="6"/>
        <v>16885.205071875003</v>
      </c>
      <c r="C45" s="2">
        <f t="shared" si="7"/>
        <v>0</v>
      </c>
      <c r="D45" s="2">
        <f t="shared" si="8"/>
        <v>4453.4728377070323</v>
      </c>
      <c r="E45" s="2">
        <f>'Amort Schedule - Flip'!E100-'Amort Schedule - Flip'!E88+('Buy and Hold Rental'!$C$16*12)</f>
        <v>0</v>
      </c>
      <c r="F45" s="2">
        <f t="shared" ca="1" si="9"/>
        <v>1438.4666666666667</v>
      </c>
      <c r="G45" s="2">
        <f t="shared" ca="1" si="0"/>
        <v>10993.265567501305</v>
      </c>
      <c r="H45" s="2">
        <f t="shared" ca="1" si="1"/>
        <v>2308.585769175274</v>
      </c>
      <c r="I45" s="2">
        <f t="shared" ca="1" si="2"/>
        <v>10123.146464992697</v>
      </c>
      <c r="J45" s="2">
        <f t="shared" si="3"/>
        <v>-1688.5205071875005</v>
      </c>
      <c r="K45" s="24">
        <f t="shared" ca="1" si="4"/>
        <v>0.15660633801618382</v>
      </c>
      <c r="L45" s="24">
        <f ca="1">I45/($M$38-$B$14-'Amort Schedule - Flip'!G100)</f>
        <v>0.14461637807132424</v>
      </c>
      <c r="M45" s="60">
        <f t="shared" si="10"/>
        <v>90882.342942264891</v>
      </c>
    </row>
    <row r="46" spans="1:13" x14ac:dyDescent="0.2">
      <c r="A46" s="1">
        <f t="shared" si="5"/>
        <v>9</v>
      </c>
      <c r="B46" s="2">
        <f t="shared" si="6"/>
        <v>17729.465325468755</v>
      </c>
      <c r="C46" s="2">
        <f t="shared" si="7"/>
        <v>0</v>
      </c>
      <c r="D46" s="2">
        <f t="shared" si="8"/>
        <v>4676.1464795923839</v>
      </c>
      <c r="E46" s="2">
        <f>'Amort Schedule - Flip'!E112-'Amort Schedule - Flip'!E100+('Buy and Hold Rental'!$C$16*12)</f>
        <v>0</v>
      </c>
      <c r="F46" s="2">
        <f t="shared" ca="1" si="9"/>
        <v>1438.4666666666667</v>
      </c>
      <c r="G46" s="2">
        <f t="shared" ca="1" si="0"/>
        <v>11614.852179209704</v>
      </c>
      <c r="H46" s="2">
        <f t="shared" ca="1" si="1"/>
        <v>2439.1189576340375</v>
      </c>
      <c r="I46" s="2">
        <f t="shared" ca="1" si="2"/>
        <v>10614.199888242334</v>
      </c>
      <c r="J46" s="2">
        <f t="shared" si="3"/>
        <v>-1772.9465325468755</v>
      </c>
      <c r="K46" s="24">
        <f t="shared" ca="1" si="4"/>
        <v>0.16415621966348026</v>
      </c>
      <c r="L46" s="24">
        <f ca="1">I46/($M$38-$B$14-'Amort Schedule - Flip'!G112)</f>
        <v>0.15163142697489049</v>
      </c>
      <c r="M46" s="60">
        <f t="shared" si="10"/>
        <v>94335.871974070964</v>
      </c>
    </row>
    <row r="47" spans="1:13" x14ac:dyDescent="0.2">
      <c r="A47" s="1">
        <f t="shared" si="5"/>
        <v>10</v>
      </c>
      <c r="B47" s="2">
        <f t="shared" si="6"/>
        <v>18615.938591742193</v>
      </c>
      <c r="C47" s="2">
        <f t="shared" si="7"/>
        <v>0</v>
      </c>
      <c r="D47" s="2">
        <f t="shared" si="8"/>
        <v>4909.9538035720034</v>
      </c>
      <c r="E47" s="2">
        <f>'Amort Schedule - Flip'!E124-'Amort Schedule - Flip'!E112+('Buy and Hold Rental'!$C$16*12)</f>
        <v>0</v>
      </c>
      <c r="F47" s="2">
        <f t="shared" ca="1" si="9"/>
        <v>1438.4666666666667</v>
      </c>
      <c r="G47" s="2">
        <f t="shared" ca="1" si="0"/>
        <v>12267.518121503523</v>
      </c>
      <c r="H47" s="2">
        <f t="shared" ca="1" si="1"/>
        <v>2576.1788055157399</v>
      </c>
      <c r="I47" s="2">
        <f t="shared" ca="1" si="2"/>
        <v>11129.80598265445</v>
      </c>
      <c r="J47" s="2">
        <f t="shared" si="3"/>
        <v>-1861.5938591742195</v>
      </c>
      <c r="K47" s="24">
        <f t="shared" ca="1" si="4"/>
        <v>0.17208359539314147</v>
      </c>
      <c r="L47" s="24">
        <f ca="1">I47/($M$38-$B$14-'Amort Schedule - Flip'!G124)</f>
        <v>0.158997228323635</v>
      </c>
      <c r="M47" s="60">
        <f t="shared" si="10"/>
        <v>97920.635109085662</v>
      </c>
    </row>
    <row r="48" spans="1:13" x14ac:dyDescent="0.2">
      <c r="A48" s="1">
        <f t="shared" si="5"/>
        <v>11</v>
      </c>
      <c r="B48" s="2">
        <f t="shared" si="6"/>
        <v>19546.735521329305</v>
      </c>
      <c r="C48" s="2">
        <f t="shared" si="7"/>
        <v>0</v>
      </c>
      <c r="D48" s="2">
        <f t="shared" si="8"/>
        <v>5155.4514937506037</v>
      </c>
      <c r="E48" s="2">
        <f>'Amort Schedule - Flip'!E136-'Amort Schedule - Flip'!E124+('Buy and Hold Rental'!$C$16*12)</f>
        <v>0</v>
      </c>
      <c r="F48" s="2">
        <f t="shared" ca="1" si="9"/>
        <v>1438.4666666666667</v>
      </c>
      <c r="G48" s="2">
        <f t="shared" ca="1" si="0"/>
        <v>12952.817360912035</v>
      </c>
      <c r="H48" s="2">
        <f t="shared" ca="1" si="1"/>
        <v>2720.0916457915273</v>
      </c>
      <c r="I48" s="2">
        <f t="shared" ca="1" si="2"/>
        <v>11671.192381787176</v>
      </c>
      <c r="J48" s="2">
        <f t="shared" si="3"/>
        <v>-1954.6735521329306</v>
      </c>
      <c r="K48" s="24">
        <f t="shared" ca="1" si="4"/>
        <v>0.18040733990928581</v>
      </c>
      <c r="L48" s="24">
        <f ca="1">I48/($M$38-$B$14-'Amort Schedule - Flip'!G136)</f>
        <v>0.16673131973981681</v>
      </c>
      <c r="M48" s="60">
        <f t="shared" si="10"/>
        <v>101641.61924323092</v>
      </c>
    </row>
    <row r="49" spans="1:13" x14ac:dyDescent="0.2">
      <c r="A49" s="1">
        <f t="shared" si="5"/>
        <v>12</v>
      </c>
      <c r="B49" s="2">
        <f t="shared" si="6"/>
        <v>20524.072297395771</v>
      </c>
      <c r="C49" s="2">
        <f t="shared" si="7"/>
        <v>0</v>
      </c>
      <c r="D49" s="2">
        <f t="shared" si="8"/>
        <v>5413.2240684381341</v>
      </c>
      <c r="E49" s="2">
        <f>'Amort Schedule - Flip'!E148-'Amort Schedule - Flip'!E136+('Buy and Hold Rental'!$C$16*12)</f>
        <v>0</v>
      </c>
      <c r="F49" s="2">
        <f t="shared" ca="1" si="9"/>
        <v>1438.4666666666667</v>
      </c>
      <c r="G49" s="2">
        <f t="shared" ca="1" si="0"/>
        <v>13672.38156229097</v>
      </c>
      <c r="H49" s="2">
        <f t="shared" ca="1" si="1"/>
        <v>2871.2001280811037</v>
      </c>
      <c r="I49" s="2">
        <f t="shared" ca="1" si="2"/>
        <v>12239.648100876531</v>
      </c>
      <c r="J49" s="2">
        <f t="shared" si="3"/>
        <v>-2052.4072297395774</v>
      </c>
      <c r="K49" s="24">
        <f t="shared" ca="1" si="4"/>
        <v>0.18914727165123724</v>
      </c>
      <c r="L49" s="24">
        <f ca="1">I49/($M$38-$B$14-'Amort Schedule - Flip'!G148)</f>
        <v>0.17485211572680759</v>
      </c>
      <c r="M49" s="60">
        <f t="shared" si="10"/>
        <v>105504.00077447369</v>
      </c>
    </row>
    <row r="50" spans="1:13" x14ac:dyDescent="0.2">
      <c r="A50" s="1">
        <f t="shared" si="5"/>
        <v>13</v>
      </c>
      <c r="B50" s="2">
        <f t="shared" si="6"/>
        <v>21550.275912265559</v>
      </c>
      <c r="C50" s="2">
        <f t="shared" si="7"/>
        <v>0</v>
      </c>
      <c r="D50" s="2">
        <f t="shared" si="8"/>
        <v>5683.885271860041</v>
      </c>
      <c r="E50" s="2">
        <f>'Amort Schedule - Flip'!E160-'Amort Schedule - Flip'!E148+('Buy and Hold Rental'!$C$16*12)</f>
        <v>0</v>
      </c>
      <c r="F50" s="2">
        <f t="shared" ca="1" si="9"/>
        <v>1438.4666666666667</v>
      </c>
      <c r="G50" s="2">
        <f t="shared" ca="1" si="0"/>
        <v>14427.923973738851</v>
      </c>
      <c r="H50" s="2">
        <f t="shared" ca="1" si="1"/>
        <v>3029.8640344851588</v>
      </c>
      <c r="I50" s="2">
        <f t="shared" ca="1" si="2"/>
        <v>12836.526605920359</v>
      </c>
      <c r="J50" s="2">
        <f t="shared" si="3"/>
        <v>-2155.0275912265561</v>
      </c>
      <c r="K50" s="24">
        <f t="shared" ca="1" si="4"/>
        <v>0.19832419998028636</v>
      </c>
      <c r="L50" s="24">
        <f ca="1">I50/($M$38-$B$14-'Amort Schedule - Flip'!G160)</f>
        <v>0.18337895151314798</v>
      </c>
      <c r="M50" s="60">
        <f t="shared" si="10"/>
        <v>109513.15280390369</v>
      </c>
    </row>
    <row r="51" spans="1:13" x14ac:dyDescent="0.2">
      <c r="A51" s="1">
        <f t="shared" si="5"/>
        <v>14</v>
      </c>
      <c r="B51" s="2">
        <f t="shared" si="6"/>
        <v>22627.789707878837</v>
      </c>
      <c r="C51" s="2">
        <f t="shared" si="7"/>
        <v>0</v>
      </c>
      <c r="D51" s="2">
        <f t="shared" si="8"/>
        <v>5968.0795354530437</v>
      </c>
      <c r="E51" s="2">
        <f>'Amort Schedule - Flip'!E172-'Amort Schedule - Flip'!E160+('Buy and Hold Rental'!$C$16*12)</f>
        <v>0</v>
      </c>
      <c r="F51" s="2">
        <f t="shared" ca="1" si="9"/>
        <v>1438.4666666666667</v>
      </c>
      <c r="G51" s="2">
        <f t="shared" ca="1" si="0"/>
        <v>15221.243505759128</v>
      </c>
      <c r="H51" s="2">
        <f t="shared" ca="1" si="1"/>
        <v>3196.461136209417</v>
      </c>
      <c r="I51" s="2">
        <f t="shared" ca="1" si="2"/>
        <v>13463.249036216375</v>
      </c>
      <c r="J51" s="2">
        <f t="shared" si="3"/>
        <v>-2262.7789707878837</v>
      </c>
      <c r="K51" s="24">
        <f t="shared" ca="1" si="4"/>
        <v>0.20795997472578784</v>
      </c>
      <c r="L51" s="24">
        <f ca="1">I51/($M$38-$B$14-'Amort Schedule - Flip'!G172)</f>
        <v>0.19233212908880537</v>
      </c>
      <c r="M51" s="60">
        <f t="shared" si="10"/>
        <v>113674.65261045203</v>
      </c>
    </row>
    <row r="52" spans="1:13" x14ac:dyDescent="0.2">
      <c r="A52" s="1">
        <f t="shared" si="5"/>
        <v>15</v>
      </c>
      <c r="B52" s="2">
        <f t="shared" si="6"/>
        <v>23759.179193272779</v>
      </c>
      <c r="C52" s="2">
        <f t="shared" si="7"/>
        <v>0</v>
      </c>
      <c r="D52" s="2">
        <f t="shared" si="8"/>
        <v>6266.4835122256964</v>
      </c>
      <c r="E52" s="2">
        <f>'Amort Schedule - Flip'!E184-'Amort Schedule - Flip'!E172+('Buy and Hold Rental'!$C$16*12)</f>
        <v>0</v>
      </c>
      <c r="F52" s="2">
        <f t="shared" ca="1" si="9"/>
        <v>1438.4666666666667</v>
      </c>
      <c r="G52" s="2">
        <f t="shared" ca="1" si="0"/>
        <v>16054.229014380417</v>
      </c>
      <c r="H52" s="2">
        <f t="shared" ca="1" si="1"/>
        <v>3371.3880930198875</v>
      </c>
      <c r="I52" s="2">
        <f t="shared" ca="1" si="2"/>
        <v>14121.307588027197</v>
      </c>
      <c r="J52" s="2">
        <f t="shared" si="3"/>
        <v>-2375.917919327278</v>
      </c>
      <c r="K52" s="24">
        <f t="shared" ca="1" si="4"/>
        <v>0.21807753820856451</v>
      </c>
      <c r="L52" s="24">
        <f ca="1">I52/($M$38-$B$14-'Amort Schedule - Flip'!G184)</f>
        <v>0.20173296554324568</v>
      </c>
      <c r="M52" s="60">
        <f t="shared" si="10"/>
        <v>117994.28940964921</v>
      </c>
    </row>
    <row r="53" spans="1:13" x14ac:dyDescent="0.2">
      <c r="A53" s="1">
        <f t="shared" si="5"/>
        <v>16</v>
      </c>
      <c r="B53" s="2">
        <f t="shared" si="6"/>
        <v>24947.138152936419</v>
      </c>
      <c r="C53" s="2">
        <f t="shared" si="7"/>
        <v>0</v>
      </c>
      <c r="D53" s="2">
        <f t="shared" si="8"/>
        <v>6579.8076878369811</v>
      </c>
      <c r="E53" s="2">
        <f>'Amort Schedule - Flip'!E196-'Amort Schedule - Flip'!E184+('Buy and Hold Rental'!$C$16*12)</f>
        <v>0</v>
      </c>
      <c r="F53" s="2">
        <f t="shared" ca="1" si="9"/>
        <v>1438.4666666666667</v>
      </c>
      <c r="G53" s="2">
        <f t="shared" ca="1" si="0"/>
        <v>16928.863798432772</v>
      </c>
      <c r="H53" s="2">
        <f t="shared" ca="1" si="1"/>
        <v>3555.0613976708819</v>
      </c>
      <c r="I53" s="2">
        <f t="shared" ca="1" si="2"/>
        <v>14812.269067428557</v>
      </c>
      <c r="J53" s="2">
        <f t="shared" si="3"/>
        <v>-2494.7138152936423</v>
      </c>
      <c r="K53" s="24">
        <f t="shared" ca="1" si="4"/>
        <v>0.22870097986547994</v>
      </c>
      <c r="L53" s="24">
        <f ca="1">I53/($M$38-$B$14-'Amort Schedule - Flip'!G196)</f>
        <v>0.21160384382040795</v>
      </c>
      <c r="M53" s="60">
        <f t="shared" si="10"/>
        <v>122478.07240721588</v>
      </c>
    </row>
    <row r="54" spans="1:13" x14ac:dyDescent="0.2">
      <c r="A54" s="1">
        <f t="shared" si="5"/>
        <v>17</v>
      </c>
      <c r="B54" s="2">
        <f t="shared" si="6"/>
        <v>26194.495060583242</v>
      </c>
      <c r="C54" s="2">
        <f t="shared" si="7"/>
        <v>0</v>
      </c>
      <c r="D54" s="2">
        <f t="shared" si="8"/>
        <v>6908.7980722288303</v>
      </c>
      <c r="E54" s="2">
        <f>'Amort Schedule - Flip'!E208-'Amort Schedule - Flip'!E196+('Buy and Hold Rental'!$C$16*12)</f>
        <v>0</v>
      </c>
      <c r="F54" s="2">
        <f t="shared" ca="1" si="9"/>
        <v>1438.4666666666667</v>
      </c>
      <c r="G54" s="2">
        <f t="shared" ca="1" si="0"/>
        <v>17847.230321687744</v>
      </c>
      <c r="H54" s="2">
        <f t="shared" ca="1" si="1"/>
        <v>3747.9183675544264</v>
      </c>
      <c r="I54" s="2">
        <f t="shared" ca="1" si="2"/>
        <v>15537.778620799985</v>
      </c>
      <c r="J54" s="2">
        <f t="shared" si="3"/>
        <v>-2619.4495060583245</v>
      </c>
      <c r="K54" s="24">
        <f t="shared" ca="1" si="4"/>
        <v>0.23985559360524114</v>
      </c>
      <c r="L54" s="24">
        <f ca="1">I54/($M$38-$B$14-'Amort Schedule - Flip'!G208)</f>
        <v>0.22196826601142836</v>
      </c>
      <c r="M54" s="60">
        <f t="shared" si="10"/>
        <v>127132.23915869008</v>
      </c>
    </row>
    <row r="55" spans="1:13" x14ac:dyDescent="0.2">
      <c r="A55" s="1">
        <f t="shared" si="5"/>
        <v>18</v>
      </c>
      <c r="B55" s="2">
        <f t="shared" si="6"/>
        <v>27504.219813612406</v>
      </c>
      <c r="C55" s="2">
        <f t="shared" si="7"/>
        <v>0</v>
      </c>
      <c r="D55" s="2">
        <f t="shared" si="8"/>
        <v>7254.2379758402722</v>
      </c>
      <c r="E55" s="2">
        <f>'Amort Schedule - Flip'!E220-'Amort Schedule - Flip'!E208+('Buy and Hold Rental'!$C$16*12)</f>
        <v>0</v>
      </c>
      <c r="F55" s="2">
        <f t="shared" ca="1" si="9"/>
        <v>1438.4666666666667</v>
      </c>
      <c r="G55" s="2">
        <f t="shared" ca="1" si="0"/>
        <v>18811.515171105468</v>
      </c>
      <c r="H55" s="2">
        <f t="shared" ca="1" si="1"/>
        <v>3950.4181859321479</v>
      </c>
      <c r="I55" s="2">
        <f t="shared" ca="1" si="2"/>
        <v>16299.563651839988</v>
      </c>
      <c r="J55" s="2">
        <f t="shared" si="3"/>
        <v>-2750.4219813612408</v>
      </c>
      <c r="K55" s="24">
        <f t="shared" ca="1" si="4"/>
        <v>0.25156793803199051</v>
      </c>
      <c r="L55" s="24">
        <f ca="1">I55/($M$38-$B$14-'Amort Schedule - Flip'!G220)</f>
        <v>0.23285090931199984</v>
      </c>
      <c r="M55" s="60">
        <f t="shared" si="10"/>
        <v>131963.2642467203</v>
      </c>
    </row>
    <row r="56" spans="1:13" x14ac:dyDescent="0.2">
      <c r="A56" s="1">
        <f t="shared" si="5"/>
        <v>19</v>
      </c>
      <c r="B56" s="2">
        <f t="shared" si="6"/>
        <v>28879.430804293028</v>
      </c>
      <c r="C56" s="2">
        <f t="shared" si="7"/>
        <v>0</v>
      </c>
      <c r="D56" s="2">
        <f t="shared" si="8"/>
        <v>7616.9498746322861</v>
      </c>
      <c r="E56" s="2">
        <f>'Amort Schedule - Flip'!E232-'Amort Schedule - Flip'!E220+('Buy and Hold Rental'!$C$16*12)</f>
        <v>0</v>
      </c>
      <c r="F56" s="2">
        <f t="shared" ca="1" si="9"/>
        <v>1438.4666666666667</v>
      </c>
      <c r="G56" s="2">
        <f t="shared" ca="1" si="0"/>
        <v>19824.014262994075</v>
      </c>
      <c r="H56" s="2">
        <f t="shared" ca="1" si="1"/>
        <v>4163.0429952287559</v>
      </c>
      <c r="I56" s="2">
        <f t="shared" ca="1" si="2"/>
        <v>17099.437934431986</v>
      </c>
      <c r="J56" s="2">
        <f t="shared" si="3"/>
        <v>-2887.9430804293029</v>
      </c>
      <c r="K56" s="24">
        <f t="shared" ca="1" si="4"/>
        <v>0.26386589968007723</v>
      </c>
      <c r="L56" s="24">
        <f ca="1">I56/($M$38-$B$14-'Amort Schedule - Flip'!G232)</f>
        <v>0.24427768477759979</v>
      </c>
      <c r="M56" s="60">
        <f t="shared" si="10"/>
        <v>136977.86828809566</v>
      </c>
    </row>
    <row r="57" spans="1:13" x14ac:dyDescent="0.2">
      <c r="A57" s="1">
        <f t="shared" si="5"/>
        <v>20</v>
      </c>
      <c r="B57" s="2">
        <f t="shared" si="6"/>
        <v>30323.402344507682</v>
      </c>
      <c r="C57" s="2">
        <f t="shared" si="7"/>
        <v>0</v>
      </c>
      <c r="D57" s="2">
        <f t="shared" si="8"/>
        <v>7997.7973683639011</v>
      </c>
      <c r="E57" s="2">
        <f>'Amort Schedule - Flip'!E244-'Amort Schedule - Flip'!E232+('Buy and Hold Rental'!$C$16*12)</f>
        <v>0</v>
      </c>
      <c r="F57" s="2">
        <f t="shared" ca="1" si="9"/>
        <v>1438.4666666666667</v>
      </c>
      <c r="G57" s="2">
        <f t="shared" ca="1" si="0"/>
        <v>20887.138309477115</v>
      </c>
      <c r="H57" s="2">
        <f t="shared" ca="1" si="1"/>
        <v>4386.2990449901945</v>
      </c>
      <c r="I57" s="2">
        <f t="shared" ca="1" si="2"/>
        <v>17939.305931153584</v>
      </c>
      <c r="J57" s="2">
        <f t="shared" si="3"/>
        <v>-3032.3402344507685</v>
      </c>
      <c r="K57" s="24">
        <f t="shared" ca="1" si="4"/>
        <v>0.27677875941056823</v>
      </c>
      <c r="L57" s="24">
        <f ca="1">I57/($M$38-$B$14-'Amort Schedule - Flip'!G244)</f>
        <v>0.25627579901647979</v>
      </c>
      <c r="M57" s="60">
        <f t="shared" si="10"/>
        <v>142183.02728304331</v>
      </c>
    </row>
    <row r="58" spans="1:13" x14ac:dyDescent="0.2">
      <c r="A58" s="1">
        <f t="shared" si="5"/>
        <v>21</v>
      </c>
      <c r="B58" s="2">
        <f t="shared" si="6"/>
        <v>31839.572461733067</v>
      </c>
      <c r="C58" s="2">
        <f t="shared" si="7"/>
        <v>0</v>
      </c>
      <c r="D58" s="2">
        <f t="shared" si="8"/>
        <v>8397.6872367820961</v>
      </c>
      <c r="E58" s="2">
        <f>'Amort Schedule - Flip'!E256-'Amort Schedule - Flip'!E244+('Buy and Hold Rental'!$C$16*12)</f>
        <v>0</v>
      </c>
      <c r="F58" s="2">
        <f t="shared" ca="1" si="9"/>
        <v>1438.4666666666667</v>
      </c>
      <c r="G58" s="2">
        <f t="shared" ca="1" si="0"/>
        <v>22003.418558284306</v>
      </c>
      <c r="H58" s="2">
        <f t="shared" ca="1" si="1"/>
        <v>4620.7178972397041</v>
      </c>
      <c r="I58" s="2">
        <f t="shared" ca="1" si="2"/>
        <v>18821.167327711264</v>
      </c>
      <c r="J58" s="2">
        <f t="shared" si="3"/>
        <v>-3183.9572461733069</v>
      </c>
      <c r="K58" s="24">
        <f t="shared" ca="1" si="4"/>
        <v>0.29033726212758387</v>
      </c>
      <c r="L58" s="24">
        <f ca="1">I58/($M$38-$B$14-'Amort Schedule - Flip'!G256)</f>
        <v>0.26887381896730378</v>
      </c>
      <c r="M58" s="60">
        <f t="shared" si="10"/>
        <v>147585.98231979896</v>
      </c>
    </row>
    <row r="59" spans="1:13" x14ac:dyDescent="0.2">
      <c r="A59" s="1">
        <f t="shared" si="5"/>
        <v>22</v>
      </c>
      <c r="B59" s="2">
        <f t="shared" si="6"/>
        <v>33431.551084819723</v>
      </c>
      <c r="C59" s="2">
        <f t="shared" si="7"/>
        <v>0</v>
      </c>
      <c r="D59" s="2">
        <f t="shared" si="8"/>
        <v>8817.5715986212017</v>
      </c>
      <c r="E59" s="2">
        <f>'Amort Schedule - Flip'!E268-'Amort Schedule - Flip'!E256+('Buy and Hold Rental'!$C$16*12)</f>
        <v>0</v>
      </c>
      <c r="F59" s="2">
        <f t="shared" ca="1" si="9"/>
        <v>1438.4666666666667</v>
      </c>
      <c r="G59" s="2">
        <f t="shared" ca="1" si="0"/>
        <v>23175.512819531854</v>
      </c>
      <c r="H59" s="2">
        <f t="shared" ca="1" si="1"/>
        <v>4866.8576921016893</v>
      </c>
      <c r="I59" s="2">
        <f t="shared" ca="1" si="2"/>
        <v>19747.121794096831</v>
      </c>
      <c r="J59" s="2">
        <f t="shared" si="3"/>
        <v>-3343.1551084819725</v>
      </c>
      <c r="K59" s="24">
        <f t="shared" ca="1" si="4"/>
        <v>0.30457368998045031</v>
      </c>
      <c r="L59" s="24">
        <f ca="1">I59/($M$38-$B$14-'Amort Schedule - Flip'!G268)</f>
        <v>0.282101739915669</v>
      </c>
      <c r="M59" s="60">
        <f t="shared" si="10"/>
        <v>153194.24964795134</v>
      </c>
    </row>
    <row r="60" spans="1:13" x14ac:dyDescent="0.2">
      <c r="A60" s="1">
        <f t="shared" si="5"/>
        <v>23</v>
      </c>
      <c r="B60" s="2">
        <f t="shared" si="6"/>
        <v>35103.128639060713</v>
      </c>
      <c r="C60" s="2">
        <f t="shared" si="7"/>
        <v>0</v>
      </c>
      <c r="D60" s="2">
        <f t="shared" si="8"/>
        <v>9258.4501785522625</v>
      </c>
      <c r="E60" s="2">
        <f>'Amort Schedule - Flip'!E280-'Amort Schedule - Flip'!E268+('Buy and Hold Rental'!$C$16*12)</f>
        <v>0</v>
      </c>
      <c r="F60" s="2">
        <f t="shared" ca="1" si="9"/>
        <v>1438.4666666666667</v>
      </c>
      <c r="G60" s="2">
        <f t="shared" ca="1" si="0"/>
        <v>24406.211793841783</v>
      </c>
      <c r="H60" s="2">
        <f t="shared" ca="1" si="1"/>
        <v>5125.304476706774</v>
      </c>
      <c r="I60" s="2">
        <f t="shared" ca="1" si="2"/>
        <v>20719.373983801677</v>
      </c>
      <c r="J60" s="2">
        <f t="shared" si="3"/>
        <v>-3510.3128639060715</v>
      </c>
      <c r="K60" s="24">
        <f t="shared" ca="1" si="4"/>
        <v>0.31952193922596017</v>
      </c>
      <c r="L60" s="24">
        <f ca="1">I60/($M$38-$B$14-'Amort Schedule - Flip'!G280)</f>
        <v>0.29599105691145255</v>
      </c>
      <c r="M60" s="60">
        <f t="shared" si="10"/>
        <v>159015.63113457349</v>
      </c>
    </row>
    <row r="61" spans="1:13" x14ac:dyDescent="0.2">
      <c r="A61" s="1">
        <f t="shared" si="5"/>
        <v>24</v>
      </c>
      <c r="B61" s="2">
        <f t="shared" si="6"/>
        <v>36858.28507101375</v>
      </c>
      <c r="C61" s="2">
        <f t="shared" si="7"/>
        <v>0</v>
      </c>
      <c r="D61" s="2">
        <f t="shared" si="8"/>
        <v>9721.3726874798758</v>
      </c>
      <c r="E61" s="2">
        <f>'Amort Schedule - Flip'!E292-'Amort Schedule - Flip'!E280+('Buy and Hold Rental'!$C$16*12)</f>
        <v>0</v>
      </c>
      <c r="F61" s="2">
        <f t="shared" ca="1" si="9"/>
        <v>1438.4666666666667</v>
      </c>
      <c r="G61" s="2">
        <f t="shared" ca="1" si="0"/>
        <v>25698.445716867209</v>
      </c>
      <c r="H61" s="2">
        <f t="shared" ca="1" si="1"/>
        <v>5396.6736005421135</v>
      </c>
      <c r="I61" s="2">
        <f t="shared" ca="1" si="2"/>
        <v>21740.238782991764</v>
      </c>
      <c r="J61" s="2">
        <f t="shared" si="3"/>
        <v>-3685.8285071013752</v>
      </c>
      <c r="K61" s="24">
        <f t="shared" ca="1" si="4"/>
        <v>0.33521760093374547</v>
      </c>
      <c r="L61" s="24">
        <f ca="1">I61/($M$38-$B$14-'Amort Schedule - Flip'!G292)</f>
        <v>0.31057483975702521</v>
      </c>
      <c r="M61" s="60">
        <f t="shared" si="10"/>
        <v>165058.22511768728</v>
      </c>
    </row>
    <row r="62" spans="1:13" x14ac:dyDescent="0.2">
      <c r="A62" s="1">
        <f t="shared" si="5"/>
        <v>25</v>
      </c>
      <c r="B62" s="2">
        <f t="shared" si="6"/>
        <v>38701.199324564441</v>
      </c>
      <c r="C62" s="2">
        <f t="shared" si="7"/>
        <v>0</v>
      </c>
      <c r="D62" s="2">
        <f t="shared" si="8"/>
        <v>10207.44132185387</v>
      </c>
      <c r="E62" s="2">
        <f>'Amort Schedule - Flip'!E304-'Amort Schedule - Flip'!E292+('Buy and Hold Rental'!$C$16*12)</f>
        <v>0</v>
      </c>
      <c r="F62" s="2">
        <f t="shared" ca="1" si="9"/>
        <v>1438.4666666666667</v>
      </c>
      <c r="G62" s="2">
        <f t="shared" ca="1" si="0"/>
        <v>27055.291336043905</v>
      </c>
      <c r="H62" s="2">
        <f t="shared" ca="1" si="1"/>
        <v>5681.6111805692199</v>
      </c>
      <c r="I62" s="2">
        <f t="shared" ca="1" si="2"/>
        <v>22812.146822141352</v>
      </c>
      <c r="J62" s="2">
        <f t="shared" si="3"/>
        <v>-3870.1199324564441</v>
      </c>
      <c r="K62" s="24">
        <f t="shared" ca="1" si="4"/>
        <v>0.35169804572691993</v>
      </c>
      <c r="L62" s="24">
        <f ca="1">I62/($M$38-$B$14-'Amort Schedule - Flip'!G304)</f>
        <v>0.32588781174487647</v>
      </c>
      <c r="M62" s="60">
        <f t="shared" si="10"/>
        <v>171330.4376721594</v>
      </c>
    </row>
    <row r="63" spans="1:13" x14ac:dyDescent="0.2">
      <c r="A63" s="1">
        <f t="shared" si="5"/>
        <v>26</v>
      </c>
      <c r="B63" s="2">
        <f t="shared" si="6"/>
        <v>40636.259290792666</v>
      </c>
      <c r="C63" s="2">
        <f t="shared" si="7"/>
        <v>0</v>
      </c>
      <c r="D63" s="2">
        <f t="shared" si="8"/>
        <v>10717.813387946564</v>
      </c>
      <c r="E63" s="2">
        <f>'Amort Schedule - Flip'!E316-'Amort Schedule - Flip'!E304+('Buy and Hold Rental'!$C$16*12)</f>
        <v>0</v>
      </c>
      <c r="F63" s="2">
        <f t="shared" ca="1" si="9"/>
        <v>1438.4666666666667</v>
      </c>
      <c r="G63" s="2">
        <f t="shared" ca="1" si="0"/>
        <v>28479.979236179435</v>
      </c>
      <c r="H63" s="2">
        <f t="shared" ca="1" si="1"/>
        <v>5980.7956395976807</v>
      </c>
      <c r="I63" s="2">
        <f t="shared" ca="1" si="2"/>
        <v>23937.650263248423</v>
      </c>
      <c r="J63" s="2">
        <f t="shared" si="3"/>
        <v>-4063.6259290792668</v>
      </c>
      <c r="K63" s="24">
        <f t="shared" ca="1" si="4"/>
        <v>0.36900251275975315</v>
      </c>
      <c r="L63" s="24">
        <f ca="1">I63/($M$38-$B$14-'Amort Schedule - Flip'!G316)</f>
        <v>0.34196643233212032</v>
      </c>
      <c r="M63" s="60">
        <f t="shared" si="10"/>
        <v>177840.99430370147</v>
      </c>
    </row>
    <row r="64" spans="1:13" x14ac:dyDescent="0.2">
      <c r="A64" s="1">
        <f t="shared" si="5"/>
        <v>27</v>
      </c>
      <c r="B64" s="2">
        <f t="shared" si="6"/>
        <v>42668.072255332299</v>
      </c>
      <c r="C64" s="2">
        <f t="shared" si="7"/>
        <v>0</v>
      </c>
      <c r="D64" s="2">
        <f t="shared" si="8"/>
        <v>11253.704057343894</v>
      </c>
      <c r="E64" s="2">
        <f>'Amort Schedule - Flip'!E328-'Amort Schedule - Flip'!E316+('Buy and Hold Rental'!$C$16*12)</f>
        <v>0</v>
      </c>
      <c r="F64" s="2">
        <f t="shared" ca="1" si="9"/>
        <v>1438.4666666666667</v>
      </c>
      <c r="G64" s="2">
        <f t="shared" ca="1" si="0"/>
        <v>29975.901531321739</v>
      </c>
      <c r="H64" s="2">
        <f t="shared" ca="1" si="1"/>
        <v>6294.9393215775654</v>
      </c>
      <c r="I64" s="2">
        <f t="shared" ca="1" si="2"/>
        <v>25119.428876410842</v>
      </c>
      <c r="J64" s="2">
        <f t="shared" si="3"/>
        <v>-4266.8072255332299</v>
      </c>
      <c r="K64" s="24">
        <f t="shared" ca="1" si="4"/>
        <v>0.38717220314422801</v>
      </c>
      <c r="L64" s="24">
        <f ca="1">I64/($M$38-$B$14-'Amort Schedule - Flip'!G328)</f>
        <v>0.35884898394872633</v>
      </c>
      <c r="M64" s="60">
        <f t="shared" si="10"/>
        <v>184598.95208724213</v>
      </c>
    </row>
    <row r="65" spans="1:13" x14ac:dyDescent="0.2">
      <c r="A65" s="1">
        <f t="shared" si="5"/>
        <v>28</v>
      </c>
      <c r="B65" s="2">
        <f t="shared" si="6"/>
        <v>44801.475868098918</v>
      </c>
      <c r="C65" s="2">
        <f t="shared" si="7"/>
        <v>0</v>
      </c>
      <c r="D65" s="2">
        <f t="shared" si="8"/>
        <v>11816.389260211088</v>
      </c>
      <c r="E65" s="2">
        <f>'Amort Schedule - Flip'!E340-'Amort Schedule - Flip'!E328+('Buy and Hold Rental'!$C$16*12)</f>
        <v>0</v>
      </c>
      <c r="F65" s="2">
        <f ca="1">F64/2</f>
        <v>719.23333333333335</v>
      </c>
      <c r="G65" s="2">
        <f t="shared" ca="1" si="0"/>
        <v>32265.853274554498</v>
      </c>
      <c r="H65" s="2">
        <f t="shared" ca="1" si="1"/>
        <v>6775.8291876564444</v>
      </c>
      <c r="I65" s="2">
        <f t="shared" ca="1" si="2"/>
        <v>26209.257420231384</v>
      </c>
      <c r="J65" s="2">
        <f t="shared" si="3"/>
        <v>-4480.1475868098923</v>
      </c>
      <c r="K65" s="24">
        <f t="shared" ca="1" si="4"/>
        <v>0.40344602551279873</v>
      </c>
      <c r="L65" s="24">
        <f ca="1">I65/($M$38-$B$14-'Amort Schedule - Flip'!G340)</f>
        <v>0.37441796314616266</v>
      </c>
      <c r="M65" s="60">
        <f t="shared" si="10"/>
        <v>191613.71226655733</v>
      </c>
    </row>
    <row r="66" spans="1:13" x14ac:dyDescent="0.2">
      <c r="A66" s="1">
        <f t="shared" si="5"/>
        <v>29</v>
      </c>
      <c r="B66" s="2">
        <f t="shared" si="6"/>
        <v>47041.549661503865</v>
      </c>
      <c r="C66" s="2">
        <f t="shared" si="7"/>
        <v>0</v>
      </c>
      <c r="D66" s="2">
        <f t="shared" si="8"/>
        <v>12407.208723221644</v>
      </c>
      <c r="E66" s="2">
        <f>'Amort Schedule - Flip'!E352-'Amort Schedule - Flip'!E340+('Buy and Hold Rental'!$C$16*12)</f>
        <v>0</v>
      </c>
      <c r="F66" s="2">
        <v>0</v>
      </c>
      <c r="G66" s="2">
        <f t="shared" si="0"/>
        <v>34634.340938282221</v>
      </c>
      <c r="H66" s="2">
        <f t="shared" si="1"/>
        <v>7273.2115970392661</v>
      </c>
      <c r="I66" s="2">
        <f t="shared" si="2"/>
        <v>27361.129341242951</v>
      </c>
      <c r="J66" s="2">
        <f t="shared" si="3"/>
        <v>-4704.1549661503868</v>
      </c>
      <c r="K66" s="24">
        <f t="shared" ca="1" si="4"/>
        <v>0.42067375662655432</v>
      </c>
      <c r="L66" s="24">
        <f>I66/($M$38-$B$14-'Amort Schedule - Flip'!G352)</f>
        <v>0.39087327630347074</v>
      </c>
      <c r="M66" s="60">
        <f t="shared" si="10"/>
        <v>198895.03333268652</v>
      </c>
    </row>
    <row r="67" spans="1:13" s="6" customFormat="1" x14ac:dyDescent="0.2">
      <c r="A67" s="1">
        <f t="shared" si="5"/>
        <v>30</v>
      </c>
      <c r="B67" s="2">
        <f t="shared" si="6"/>
        <v>49393.627144579063</v>
      </c>
      <c r="C67" s="2">
        <f t="shared" si="7"/>
        <v>0</v>
      </c>
      <c r="D67" s="2">
        <f t="shared" si="8"/>
        <v>13027.569159382727</v>
      </c>
      <c r="E67" s="2">
        <f>'Amort Schedule - Flip'!E364-'Amort Schedule - Flip'!E352+('Buy and Hold Rental'!$C$16*12)</f>
        <v>0</v>
      </c>
      <c r="F67" s="2">
        <v>0</v>
      </c>
      <c r="G67" s="2">
        <f t="shared" si="0"/>
        <v>36366.057985196334</v>
      </c>
      <c r="H67" s="2">
        <f t="shared" si="1"/>
        <v>7636.8721768912301</v>
      </c>
      <c r="I67" s="2">
        <f t="shared" si="2"/>
        <v>28729.185808305105</v>
      </c>
      <c r="J67" s="2">
        <f t="shared" si="3"/>
        <v>-4939.3627144579068</v>
      </c>
      <c r="K67" s="24">
        <f t="shared" ca="1" si="4"/>
        <v>0.44170744445788218</v>
      </c>
      <c r="L67" s="24">
        <f>I67/($M$38-$B$14-'Amort Schedule - Flip'!G364)</f>
        <v>0.41041694011864438</v>
      </c>
      <c r="M67" s="60">
        <f t="shared" si="10"/>
        <v>206453.04459932863</v>
      </c>
    </row>
    <row r="68" spans="1:13" x14ac:dyDescent="0.2">
      <c r="A68" s="14" t="s">
        <v>180</v>
      </c>
      <c r="B68" s="5">
        <f t="shared" ref="B68:I68" si="11">SUM(B38:B67)</f>
        <v>797266.17003615934</v>
      </c>
      <c r="C68" s="5">
        <f t="shared" si="11"/>
        <v>0</v>
      </c>
      <c r="D68" s="5">
        <f t="shared" si="11"/>
        <v>210278.95234703706</v>
      </c>
      <c r="E68" s="5">
        <f t="shared" si="11"/>
        <v>0</v>
      </c>
      <c r="F68" s="5">
        <f t="shared" ca="1" si="11"/>
        <v>39557.833333333336</v>
      </c>
      <c r="G68" s="5">
        <f t="shared" ca="1" si="11"/>
        <v>547429.38435578917</v>
      </c>
      <c r="H68" s="61">
        <f t="shared" ca="1" si="11"/>
        <v>114960.1707147157</v>
      </c>
      <c r="I68" s="5">
        <f t="shared" ca="1" si="11"/>
        <v>472027.04697440675</v>
      </c>
      <c r="J68" s="5">
        <f t="shared" si="3"/>
        <v>-79726.617003615946</v>
      </c>
      <c r="K68" s="35">
        <f t="shared" ca="1" si="4"/>
        <v>7.2838717504773118</v>
      </c>
      <c r="L68" s="35">
        <f ca="1">I68/($M$38-$B$14-'Amort Schedule - Flip'!G364)</f>
        <v>6.7432435282058112</v>
      </c>
      <c r="M68" s="61">
        <f>M67</f>
        <v>206453.04459932863</v>
      </c>
    </row>
    <row r="69" spans="1:13" x14ac:dyDescent="0.2">
      <c r="H69" s="62" t="s">
        <v>181</v>
      </c>
      <c r="I69" s="2">
        <f ca="1">B33</f>
        <v>53858.777777777781</v>
      </c>
    </row>
    <row r="70" spans="1:13" x14ac:dyDescent="0.2">
      <c r="G70" s="3"/>
      <c r="H70" s="62" t="s">
        <v>182</v>
      </c>
      <c r="I70" s="2">
        <f ca="1">I68</f>
        <v>472027.04697440675</v>
      </c>
    </row>
    <row r="71" spans="1:13" x14ac:dyDescent="0.2">
      <c r="H71" s="62" t="s">
        <v>111</v>
      </c>
      <c r="I71" s="2">
        <f ca="1">I69</f>
        <v>53858.777777777781</v>
      </c>
    </row>
    <row r="72" spans="1:13" s="6" customFormat="1" x14ac:dyDescent="0.2">
      <c r="A72" s="1"/>
      <c r="B72" s="2"/>
      <c r="C72" s="2"/>
      <c r="D72" s="2"/>
      <c r="E72" s="2"/>
      <c r="F72" s="2"/>
      <c r="G72" s="2"/>
      <c r="H72" s="62" t="s">
        <v>183</v>
      </c>
      <c r="I72" s="66">
        <f ca="1">I70/I69</f>
        <v>8.7641618776051367</v>
      </c>
      <c r="J72" s="24"/>
      <c r="K72" s="2"/>
      <c r="L72" s="25"/>
    </row>
    <row r="73" spans="1:13" x14ac:dyDescent="0.2">
      <c r="A73" s="14"/>
      <c r="B73" s="5"/>
      <c r="C73" s="5"/>
      <c r="D73" s="5"/>
      <c r="E73" s="6"/>
      <c r="F73" s="6"/>
      <c r="G73" s="38"/>
      <c r="H73" s="29" t="s">
        <v>184</v>
      </c>
      <c r="I73" s="38">
        <f ca="1">I72/30</f>
        <v>0.29213872925350454</v>
      </c>
      <c r="J73" s="35"/>
      <c r="K73" s="5"/>
      <c r="L73" s="53"/>
    </row>
  </sheetData>
  <printOptions gridLines="1"/>
  <pageMargins left="0.25" right="0.25" top="0.75" bottom="0.25" header="0.25" footer="0.25"/>
  <pageSetup scale="73" fitToHeight="2" orientation="landscape" r:id="rId1"/>
  <headerFooter alignWithMargins="0">
    <oddHeader>&amp;C&amp;"Tahoma,Bold"&amp;14&amp;F: &amp;A</oddHeader>
    <oddFooter>Page &amp;P of &amp;N</oddFooter>
  </headerFooter>
  <rowBreaks count="1" manualBreakCount="1">
    <brk id="3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390E7-45C4-4736-97F2-945F9451700C}">
  <sheetPr codeName="Sheet5"/>
  <dimension ref="A1:M72"/>
  <sheetViews>
    <sheetView topLeftCell="A7" zoomScale="120" zoomScaleNormal="120" workbookViewId="0">
      <selection activeCell="B7" sqref="B7"/>
    </sheetView>
  </sheetViews>
  <sheetFormatPr defaultColWidth="8.42578125" defaultRowHeight="12.75" x14ac:dyDescent="0.2"/>
  <cols>
    <col min="1" max="1" width="37.28515625" style="1" customWidth="1"/>
    <col min="2" max="2" width="15.140625" style="2" customWidth="1"/>
    <col min="3" max="3" width="11.7109375" style="2" customWidth="1"/>
    <col min="4" max="4" width="10.42578125" style="2" customWidth="1"/>
    <col min="5" max="5" width="16.28515625" style="2" customWidth="1"/>
    <col min="6" max="6" width="15.28515625" style="2" customWidth="1"/>
    <col min="7" max="7" width="13.28515625" style="2" customWidth="1"/>
    <col min="8" max="8" width="11.7109375" style="3" customWidth="1"/>
    <col min="9" max="9" width="12.28515625" style="2" customWidth="1"/>
    <col min="10" max="10" width="12.7109375" style="24" customWidth="1"/>
    <col min="11" max="11" width="11.5703125" style="2" customWidth="1"/>
    <col min="12" max="12" width="11.85546875" style="25" customWidth="1"/>
    <col min="13" max="13" width="11.85546875" bestFit="1" customWidth="1"/>
    <col min="14" max="238" width="8.42578125" customWidth="1"/>
  </cols>
  <sheetData>
    <row r="1" spans="1:12" ht="13.5" thickBot="1" x14ac:dyDescent="0.25">
      <c r="A1" s="14" t="s">
        <v>185</v>
      </c>
      <c r="B1" s="5">
        <f>'Data Entry'!B6</f>
        <v>70000</v>
      </c>
      <c r="E1" s="14" t="s">
        <v>59</v>
      </c>
      <c r="F1" s="32" t="str">
        <f>'Purchase &amp; Flip'!G1</f>
        <v>1234 Sample Rd</v>
      </c>
      <c r="H1" s="2"/>
      <c r="J1" s="2"/>
      <c r="L1" s="18"/>
    </row>
    <row r="2" spans="1:12" ht="13.5" thickBot="1" x14ac:dyDescent="0.25">
      <c r="A2" s="14" t="s">
        <v>60</v>
      </c>
      <c r="B2" s="113">
        <v>0</v>
      </c>
      <c r="C2" s="68">
        <v>0</v>
      </c>
      <c r="D2" s="36" t="s">
        <v>61</v>
      </c>
      <c r="E2" s="14" t="s">
        <v>62</v>
      </c>
      <c r="F2" s="32" t="str">
        <f>_xlfn.CONCAT(F1," LLC")</f>
        <v>1234 Sample Rd LLC</v>
      </c>
      <c r="H2" s="2"/>
      <c r="J2" s="2"/>
      <c r="L2" s="16"/>
    </row>
    <row r="3" spans="1:12" x14ac:dyDescent="0.2">
      <c r="A3" s="1" t="s">
        <v>138</v>
      </c>
      <c r="B3" s="10">
        <f>B1</f>
        <v>70000</v>
      </c>
      <c r="C3" s="114">
        <f>(B1-B3)/B1</f>
        <v>0</v>
      </c>
      <c r="D3" s="2" t="s">
        <v>64</v>
      </c>
      <c r="E3" s="14" t="s">
        <v>65</v>
      </c>
      <c r="F3" s="71">
        <f>'Purchase &amp; Flip'!G3</f>
        <v>0</v>
      </c>
      <c r="G3" s="32"/>
      <c r="H3" s="32"/>
      <c r="I3" s="32"/>
      <c r="J3" s="32"/>
      <c r="K3" s="32"/>
      <c r="L3" s="16"/>
    </row>
    <row r="4" spans="1:12" ht="13.5" thickBot="1" x14ac:dyDescent="0.25">
      <c r="A4" s="14" t="s">
        <v>68</v>
      </c>
      <c r="B4" s="44">
        <f>B3*C4</f>
        <v>14000</v>
      </c>
      <c r="C4" s="20">
        <f>IF(C5="Yes",20%,100%)</f>
        <v>0.2</v>
      </c>
      <c r="D4" s="6"/>
      <c r="E4" s="14" t="s">
        <v>67</v>
      </c>
      <c r="F4" s="32">
        <f>'Purchase &amp; Flip'!G4</f>
        <v>0</v>
      </c>
      <c r="H4" s="2"/>
      <c r="J4" s="2"/>
      <c r="L4" s="17"/>
    </row>
    <row r="5" spans="1:12" ht="13.15" customHeight="1" thickBot="1" x14ac:dyDescent="0.25">
      <c r="A5" s="1" t="s">
        <v>72</v>
      </c>
      <c r="B5" s="178">
        <f>B3-B4</f>
        <v>56000</v>
      </c>
      <c r="C5" s="143" t="s">
        <v>25</v>
      </c>
      <c r="D5" s="2" t="s">
        <v>186</v>
      </c>
      <c r="E5" s="14" t="s">
        <v>69</v>
      </c>
      <c r="F5" s="5" t="s">
        <v>21</v>
      </c>
      <c r="G5" s="5" t="s">
        <v>22</v>
      </c>
      <c r="H5" s="5" t="s">
        <v>70</v>
      </c>
      <c r="I5" s="5" t="s">
        <v>26</v>
      </c>
      <c r="J5" s="5" t="s">
        <v>27</v>
      </c>
      <c r="K5" s="5" t="s">
        <v>28</v>
      </c>
      <c r="L5" s="16"/>
    </row>
    <row r="6" spans="1:12" ht="13.5" thickBot="1" x14ac:dyDescent="0.25">
      <c r="A6" s="1" t="s">
        <v>75</v>
      </c>
      <c r="B6" s="8">
        <v>7.4999999999999997E-2</v>
      </c>
      <c r="C6" s="179" t="s">
        <v>187</v>
      </c>
      <c r="D6" s="2" t="s">
        <v>188</v>
      </c>
      <c r="E6" s="29"/>
      <c r="F6" s="33">
        <f>'Purchase &amp; Flip'!G6</f>
        <v>3</v>
      </c>
      <c r="G6" s="39">
        <f>'Purchase &amp; Flip'!H6</f>
        <v>1</v>
      </c>
      <c r="H6" s="33">
        <f>'Purchase &amp; Flip'!I6</f>
        <v>1000</v>
      </c>
      <c r="I6" s="33">
        <f>'Purchase &amp; Flip'!J6</f>
        <v>3500</v>
      </c>
      <c r="J6" s="34">
        <f>'Purchase &amp; Flip'!K6</f>
        <v>1950</v>
      </c>
      <c r="K6" s="39">
        <f>'Purchase &amp; Flip'!L6</f>
        <v>1.5</v>
      </c>
      <c r="L6" s="16"/>
    </row>
    <row r="7" spans="1:12" ht="13.5" thickBot="1" x14ac:dyDescent="0.25">
      <c r="A7" s="1" t="s">
        <v>77</v>
      </c>
      <c r="B7" s="116">
        <f>'Purchase &amp; Flip'!B9</f>
        <v>30</v>
      </c>
      <c r="E7" s="4"/>
      <c r="F7" s="121"/>
      <c r="G7" s="123">
        <f>B5/B1</f>
        <v>0.8</v>
      </c>
      <c r="H7" s="38" t="s">
        <v>140</v>
      </c>
      <c r="I7" s="121"/>
      <c r="J7" s="121"/>
      <c r="K7" s="121"/>
      <c r="L7" s="16"/>
    </row>
    <row r="8" spans="1:12" ht="13.15" customHeight="1" thickBot="1" x14ac:dyDescent="0.25">
      <c r="A8" s="42" t="s">
        <v>80</v>
      </c>
      <c r="B8" s="198">
        <f>C8*B5</f>
        <v>2240</v>
      </c>
      <c r="C8" s="43">
        <v>0.04</v>
      </c>
      <c r="D8" s="12"/>
      <c r="E8" s="4"/>
      <c r="F8" s="121"/>
      <c r="G8" s="121"/>
      <c r="H8" s="121"/>
      <c r="I8" s="121"/>
      <c r="J8" s="121"/>
      <c r="K8" s="121"/>
      <c r="L8" s="16"/>
    </row>
    <row r="9" spans="1:12" ht="13.5" thickBot="1" x14ac:dyDescent="0.25">
      <c r="A9" s="14" t="s">
        <v>142</v>
      </c>
      <c r="B9" s="5"/>
      <c r="C9" s="70">
        <f>'Amort Schedule - Investor'!B5+SUM(C10:C13)</f>
        <v>691.56012478955631</v>
      </c>
      <c r="D9" s="47"/>
      <c r="F9" s="121"/>
      <c r="G9" s="121"/>
      <c r="H9" s="121"/>
      <c r="I9" s="121"/>
      <c r="J9" s="121"/>
      <c r="K9" s="121"/>
      <c r="L9" s="40"/>
    </row>
    <row r="10" spans="1:12" x14ac:dyDescent="0.2">
      <c r="A10" s="1" t="s">
        <v>96</v>
      </c>
      <c r="B10" s="2">
        <f>B3*D10</f>
        <v>1400</v>
      </c>
      <c r="C10" s="2">
        <f>B10/12</f>
        <v>116.66666666666667</v>
      </c>
      <c r="D10" s="136">
        <f>'Purchase &amp; Flip'!D24</f>
        <v>0.02</v>
      </c>
      <c r="E10" s="2" t="s">
        <v>189</v>
      </c>
    </row>
    <row r="11" spans="1:12" ht="13.5" thickBot="1" x14ac:dyDescent="0.25">
      <c r="A11" s="1" t="s">
        <v>143</v>
      </c>
      <c r="B11" s="2">
        <f>C11*12</f>
        <v>0</v>
      </c>
      <c r="C11" s="2">
        <f>D11</f>
        <v>0</v>
      </c>
      <c r="D11" s="65">
        <v>0</v>
      </c>
      <c r="E11" s="2" t="s">
        <v>144</v>
      </c>
    </row>
    <row r="12" spans="1:12" ht="13.5" thickBot="1" x14ac:dyDescent="0.25">
      <c r="A12" s="1" t="s">
        <v>145</v>
      </c>
      <c r="B12" s="2">
        <f>C12*12</f>
        <v>1200</v>
      </c>
      <c r="C12" s="2">
        <f>D12*C22</f>
        <v>100</v>
      </c>
      <c r="D12" s="173">
        <v>0.1</v>
      </c>
      <c r="E12" s="2" t="s">
        <v>146</v>
      </c>
    </row>
    <row r="13" spans="1:12" ht="13.5" thickBot="1" x14ac:dyDescent="0.25">
      <c r="A13" s="42" t="s">
        <v>100</v>
      </c>
      <c r="B13" s="134">
        <f>'Buy and Hold Rental'!B13</f>
        <v>1000</v>
      </c>
      <c r="C13" s="30">
        <f>B13/12</f>
        <v>83.333333333333329</v>
      </c>
      <c r="D13" s="117">
        <f>B13/B3</f>
        <v>1.4285714285714285E-2</v>
      </c>
      <c r="E13" s="2" t="s">
        <v>189</v>
      </c>
    </row>
    <row r="14" spans="1:12" s="6" customFormat="1" ht="13.5" thickBot="1" x14ac:dyDescent="0.25">
      <c r="A14" s="14" t="s">
        <v>102</v>
      </c>
      <c r="B14" s="181">
        <f>IF(C14="Yes",#REF!+#REF!+#REF!+B9, 0)</f>
        <v>0</v>
      </c>
      <c r="C14" s="143" t="s">
        <v>73</v>
      </c>
      <c r="D14" s="174"/>
      <c r="F14" s="2"/>
      <c r="G14" s="2"/>
      <c r="H14" s="3"/>
      <c r="I14" s="2"/>
      <c r="J14" s="24"/>
      <c r="K14" s="2"/>
      <c r="L14" s="25"/>
    </row>
    <row r="15" spans="1:12" ht="13.5" thickBot="1" x14ac:dyDescent="0.25">
      <c r="A15" s="1" t="s">
        <v>105</v>
      </c>
      <c r="B15" s="141">
        <v>0</v>
      </c>
      <c r="C15" s="179"/>
      <c r="D15" s="2" t="s">
        <v>188</v>
      </c>
      <c r="E15" s="37"/>
      <c r="F15" s="5"/>
      <c r="G15" s="123">
        <f>(B5+B14)/B1</f>
        <v>0.8</v>
      </c>
      <c r="H15" s="38" t="s">
        <v>148</v>
      </c>
      <c r="I15" s="5"/>
      <c r="J15" s="35"/>
      <c r="K15" s="5"/>
      <c r="L15" s="53"/>
    </row>
    <row r="16" spans="1:12" ht="13.5" thickBot="1" x14ac:dyDescent="0.25">
      <c r="A16" s="42" t="s">
        <v>107</v>
      </c>
      <c r="B16" s="49"/>
      <c r="C16" s="70">
        <f>B14*B15/12</f>
        <v>0</v>
      </c>
      <c r="D16" s="30"/>
    </row>
    <row r="17" spans="1:12" x14ac:dyDescent="0.2">
      <c r="A17" s="1" t="s">
        <v>108</v>
      </c>
      <c r="B17" s="48">
        <f>(C16+C9-C12)*C17</f>
        <v>0</v>
      </c>
      <c r="C17" s="31">
        <v>0</v>
      </c>
      <c r="D17" s="2" t="s">
        <v>109</v>
      </c>
    </row>
    <row r="18" spans="1:12" x14ac:dyDescent="0.2">
      <c r="A18" s="1" t="s">
        <v>110</v>
      </c>
      <c r="B18" s="48">
        <f>C18*C22</f>
        <v>0</v>
      </c>
      <c r="C18" s="140">
        <v>0</v>
      </c>
      <c r="D18" s="2" t="s">
        <v>109</v>
      </c>
      <c r="H18"/>
      <c r="I18"/>
      <c r="J18"/>
      <c r="K18"/>
      <c r="L18"/>
    </row>
    <row r="19" spans="1:12" ht="13.5" thickBot="1" x14ac:dyDescent="0.25">
      <c r="A19" s="1" t="s">
        <v>47</v>
      </c>
      <c r="B19" s="48">
        <f>(C9+C16-C12)*C19</f>
        <v>3549.3607487373379</v>
      </c>
      <c r="C19" s="31">
        <v>6</v>
      </c>
      <c r="D19" s="2" t="s">
        <v>109</v>
      </c>
      <c r="H19"/>
      <c r="I19"/>
      <c r="J19"/>
      <c r="K19"/>
      <c r="L19"/>
    </row>
    <row r="20" spans="1:12" s="6" customFormat="1" ht="18.75" thickBot="1" x14ac:dyDescent="0.3">
      <c r="A20" s="54" t="s">
        <v>150</v>
      </c>
      <c r="B20" s="55">
        <f>B3+B8+SUM(B17:B19)-B5-B14</f>
        <v>19789.360748737337</v>
      </c>
      <c r="C20" s="37"/>
      <c r="D20" s="5"/>
      <c r="E20" s="2"/>
      <c r="F20" s="2"/>
      <c r="G20" s="2"/>
      <c r="H20"/>
      <c r="I20"/>
      <c r="J20"/>
      <c r="K20"/>
      <c r="L20"/>
    </row>
    <row r="21" spans="1:12" ht="13.5" thickBot="1" x14ac:dyDescent="0.25">
      <c r="D21" s="26"/>
      <c r="E21" s="5"/>
      <c r="F21" s="5"/>
      <c r="G21" s="5"/>
      <c r="H21" s="6"/>
      <c r="I21" s="6"/>
      <c r="J21" s="6"/>
      <c r="K21" s="6"/>
      <c r="L21" s="6"/>
    </row>
    <row r="22" spans="1:12" ht="13.5" thickBot="1" x14ac:dyDescent="0.25">
      <c r="A22" s="1" t="s">
        <v>151</v>
      </c>
      <c r="B22" s="2">
        <f>(C9+C16)</f>
        <v>691.56012478955631</v>
      </c>
      <c r="C22" s="135">
        <f>'Data Entry'!B2</f>
        <v>1000</v>
      </c>
      <c r="D22" s="2" t="s">
        <v>152</v>
      </c>
      <c r="I22" s="5"/>
      <c r="J22" s="35"/>
    </row>
    <row r="23" spans="1:12" ht="13.5" thickBot="1" x14ac:dyDescent="0.25">
      <c r="A23" s="1" t="s">
        <v>153</v>
      </c>
      <c r="B23" s="2">
        <f>B22*C23</f>
        <v>308.43987521044369</v>
      </c>
      <c r="C23" s="136">
        <f>(C22-B22)/B22</f>
        <v>0.44600587013935022</v>
      </c>
      <c r="D23" s="13" t="s">
        <v>154</v>
      </c>
    </row>
    <row r="24" spans="1:12" s="6" customFormat="1" ht="13.5" thickBot="1" x14ac:dyDescent="0.25">
      <c r="A24" s="14" t="s">
        <v>155</v>
      </c>
      <c r="B24" s="41">
        <f>SUM(B22:B23)</f>
        <v>1000</v>
      </c>
      <c r="C24" s="133">
        <f>B24/B3</f>
        <v>1.4285714285714285E-2</v>
      </c>
      <c r="D24" s="2" t="s">
        <v>156</v>
      </c>
      <c r="E24" s="2"/>
      <c r="F24" s="2"/>
      <c r="G24" s="2"/>
      <c r="H24" s="3"/>
      <c r="I24" s="2"/>
      <c r="J24" s="24"/>
      <c r="K24" s="2"/>
      <c r="L24" s="25"/>
    </row>
    <row r="25" spans="1:12" s="6" customFormat="1" x14ac:dyDescent="0.2">
      <c r="A25" s="1" t="s">
        <v>190</v>
      </c>
      <c r="B25" s="5">
        <f>-B24*C25</f>
        <v>-50</v>
      </c>
      <c r="C25" s="64">
        <f>50/C22</f>
        <v>0.05</v>
      </c>
      <c r="D25" s="13" t="s">
        <v>158</v>
      </c>
      <c r="E25" s="5"/>
      <c r="F25" s="5"/>
      <c r="G25" s="5"/>
      <c r="H25" s="38"/>
      <c r="I25" s="5"/>
      <c r="J25" s="35"/>
      <c r="K25" s="5"/>
      <c r="L25" s="53"/>
    </row>
    <row r="26" spans="1:12" s="6" customFormat="1" ht="13.5" thickBot="1" x14ac:dyDescent="0.25">
      <c r="A26" s="1" t="s">
        <v>191</v>
      </c>
      <c r="B26" s="5">
        <f>-B24*C26</f>
        <v>-50</v>
      </c>
      <c r="C26" s="64">
        <f>C25</f>
        <v>0.05</v>
      </c>
      <c r="D26" s="13" t="s">
        <v>160</v>
      </c>
      <c r="E26" s="5"/>
      <c r="F26" s="5"/>
      <c r="G26" s="5"/>
      <c r="H26" s="38"/>
      <c r="I26" s="5"/>
      <c r="J26" s="35"/>
      <c r="K26" s="5"/>
      <c r="L26" s="132"/>
    </row>
    <row r="27" spans="1:12" s="6" customFormat="1" ht="13.5" thickBot="1" x14ac:dyDescent="0.25">
      <c r="A27" s="14" t="s">
        <v>161</v>
      </c>
      <c r="B27" s="41">
        <f>SUM(B24:B26)</f>
        <v>900</v>
      </c>
      <c r="C27" s="5"/>
      <c r="D27" s="5"/>
      <c r="E27" s="5"/>
      <c r="F27" s="5"/>
      <c r="G27" s="5"/>
      <c r="H27" s="38"/>
      <c r="I27" s="5"/>
      <c r="J27" s="35"/>
      <c r="K27" s="5"/>
      <c r="L27" s="132"/>
    </row>
    <row r="28" spans="1:12" ht="13.5" thickBot="1" x14ac:dyDescent="0.25">
      <c r="A28" s="1" t="s">
        <v>162</v>
      </c>
      <c r="B28" s="8">
        <v>0.05</v>
      </c>
      <c r="E28" s="5"/>
      <c r="F28" s="122">
        <f>K37</f>
        <v>0.10189876291787932</v>
      </c>
      <c r="G28" s="2" t="s">
        <v>163</v>
      </c>
      <c r="H28" s="38"/>
      <c r="I28" s="5"/>
      <c r="J28" s="35"/>
      <c r="K28" s="5"/>
      <c r="L28" s="132"/>
    </row>
    <row r="29" spans="1:12" ht="13.5" thickBot="1" x14ac:dyDescent="0.25">
      <c r="A29" s="1" t="s">
        <v>164</v>
      </c>
      <c r="B29" s="8">
        <v>3.7999999999999999E-2</v>
      </c>
      <c r="F29" s="183">
        <f>F33/B3</f>
        <v>0.12</v>
      </c>
      <c r="G29" s="2" t="s">
        <v>18</v>
      </c>
    </row>
    <row r="30" spans="1:12" ht="13.5" thickBot="1" x14ac:dyDescent="0.25">
      <c r="A30" s="1" t="s">
        <v>165</v>
      </c>
      <c r="B30" s="3">
        <f>1/27.5</f>
        <v>3.6363636363636362E-2</v>
      </c>
      <c r="F30" s="122">
        <f>(B27-SUM(C10:C13))*12/B3</f>
        <v>0.10285714285714286</v>
      </c>
      <c r="G30" s="2" t="s">
        <v>19</v>
      </c>
    </row>
    <row r="31" spans="1:12" ht="13.5" thickBot="1" x14ac:dyDescent="0.25">
      <c r="A31" s="1" t="s">
        <v>166</v>
      </c>
      <c r="B31" s="8">
        <v>0.21</v>
      </c>
      <c r="F31" s="2">
        <f>C22*12</f>
        <v>12000</v>
      </c>
      <c r="G31" s="2" t="s">
        <v>14</v>
      </c>
    </row>
    <row r="32" spans="1:12" s="6" customFormat="1" ht="18.75" thickBot="1" x14ac:dyDescent="0.3">
      <c r="A32" s="54" t="s">
        <v>111</v>
      </c>
      <c r="B32" s="55">
        <f>B20</f>
        <v>19789.360748737337</v>
      </c>
      <c r="C32" s="100"/>
      <c r="D32" s="5"/>
      <c r="E32" s="2"/>
      <c r="F32" s="2">
        <f>-SUM(C10:C13)*12</f>
        <v>-3600</v>
      </c>
      <c r="G32" s="2" t="s">
        <v>15</v>
      </c>
      <c r="H32" s="3"/>
      <c r="I32" s="5"/>
      <c r="J32" s="35"/>
      <c r="K32" s="2"/>
      <c r="L32" s="25"/>
    </row>
    <row r="33" spans="1:13" s="6" customFormat="1" ht="18" x14ac:dyDescent="0.25">
      <c r="A33" s="54"/>
      <c r="B33" s="108"/>
      <c r="C33" s="100"/>
      <c r="D33" s="5"/>
      <c r="E33" s="2"/>
      <c r="F33" s="182">
        <f>SUM(F31:F32)</f>
        <v>8400</v>
      </c>
      <c r="G33" s="2" t="s">
        <v>16</v>
      </c>
      <c r="H33" s="3"/>
      <c r="I33" s="5"/>
      <c r="J33" s="35"/>
      <c r="K33" s="2"/>
      <c r="L33" s="25"/>
    </row>
    <row r="34" spans="1:13" x14ac:dyDescent="0.2">
      <c r="E34" s="5"/>
      <c r="F34" s="5">
        <f>(B27-SUM(C10:C13))*12</f>
        <v>7200</v>
      </c>
      <c r="G34" s="5" t="s">
        <v>17</v>
      </c>
      <c r="H34" s="38"/>
      <c r="I34" s="5"/>
      <c r="J34" s="29"/>
      <c r="K34" s="6"/>
      <c r="L34" s="53"/>
    </row>
    <row r="35" spans="1:13" s="56" customFormat="1" ht="38.25" customHeight="1" x14ac:dyDescent="0.2">
      <c r="A35" s="1"/>
      <c r="B35" s="2"/>
      <c r="C35" s="2"/>
      <c r="D35" s="2"/>
      <c r="E35" s="2"/>
      <c r="F35" s="2"/>
      <c r="G35" s="2"/>
      <c r="H35" s="3"/>
      <c r="I35" s="2"/>
      <c r="J35" s="24"/>
      <c r="K35" s="2"/>
      <c r="L35" s="25"/>
    </row>
    <row r="36" spans="1:13" ht="26.25" thickBot="1" x14ac:dyDescent="0.25">
      <c r="A36" s="56" t="s">
        <v>167</v>
      </c>
      <c r="B36" s="57" t="s">
        <v>168</v>
      </c>
      <c r="C36" s="57" t="s">
        <v>169</v>
      </c>
      <c r="D36" s="57" t="s">
        <v>170</v>
      </c>
      <c r="E36" s="57" t="s">
        <v>171</v>
      </c>
      <c r="F36" s="57" t="s">
        <v>172</v>
      </c>
      <c r="G36" s="57" t="s">
        <v>173</v>
      </c>
      <c r="H36" s="57" t="s">
        <v>174</v>
      </c>
      <c r="I36" s="57" t="s">
        <v>175</v>
      </c>
      <c r="J36" s="57" t="s">
        <v>176</v>
      </c>
      <c r="K36" s="58" t="s">
        <v>177</v>
      </c>
      <c r="L36" s="58" t="s">
        <v>178</v>
      </c>
      <c r="M36" s="59" t="s">
        <v>179</v>
      </c>
    </row>
    <row r="37" spans="1:13" ht="13.5" thickBot="1" x14ac:dyDescent="0.25">
      <c r="A37" s="1">
        <v>1</v>
      </c>
      <c r="B37" s="2">
        <f>B24*12</f>
        <v>12000</v>
      </c>
      <c r="C37" s="2">
        <f>('Amort Schedule - Investor'!$B$5+$C$16)*12</f>
        <v>4698.7214974746757</v>
      </c>
      <c r="D37" s="2">
        <f>SUM($C$10:$C$13)*12</f>
        <v>3600</v>
      </c>
      <c r="E37" s="2">
        <f>'Amort Schedule - Investor'!E16+('Sale to Retail Investor'!$C$16*12)</f>
        <v>4182.4942180836069</v>
      </c>
      <c r="F37" s="2">
        <f>$B$3*$B$30*75%</f>
        <v>1909.090909090909</v>
      </c>
      <c r="G37" s="2">
        <f t="shared" ref="G37:G66" si="0">B37-D37-E37-F37</f>
        <v>2308.4148728254841</v>
      </c>
      <c r="H37" s="2">
        <f t="shared" ref="H37:H66" si="1">(B37-D37-E37-F37)*$B$31</f>
        <v>484.76712329335163</v>
      </c>
      <c r="I37" s="2">
        <f t="shared" ref="I37:I66" si="2">B37-C37-H37-D37</f>
        <v>3216.5113792319726</v>
      </c>
      <c r="J37" s="2">
        <f>-($C$25+$C$26)*B37</f>
        <v>-1200</v>
      </c>
      <c r="K37" s="67">
        <f>(I37+J37)/$B$32</f>
        <v>0.10189876291787932</v>
      </c>
      <c r="L37" s="24">
        <f>I37/($M$37-$B$14-'Amort Schedule - Investor'!G16)</f>
        <v>0.22158039532754548</v>
      </c>
      <c r="M37" s="60">
        <f>B1</f>
        <v>70000</v>
      </c>
    </row>
    <row r="38" spans="1:13" s="6" customFormat="1" x14ac:dyDescent="0.2">
      <c r="A38" s="1">
        <f>A37+1</f>
        <v>2</v>
      </c>
      <c r="B38" s="2">
        <f>B37*(1+$B$28)</f>
        <v>12600</v>
      </c>
      <c r="C38" s="2">
        <f>C37</f>
        <v>4698.7214974746757</v>
      </c>
      <c r="D38" s="2">
        <f>(D37*(1+$B$28))</f>
        <v>3780</v>
      </c>
      <c r="E38" s="2">
        <f>'Amort Schedule - Investor'!E28-'Amort Schedule - Investor'!E16+('Sale to Retail Investor'!$C$16*12)</f>
        <v>4142.4181527841001</v>
      </c>
      <c r="F38" s="2">
        <f>F37</f>
        <v>1909.090909090909</v>
      </c>
      <c r="G38" s="2">
        <f t="shared" si="0"/>
        <v>2768.4909381249909</v>
      </c>
      <c r="H38" s="2">
        <f t="shared" si="1"/>
        <v>581.38309700624802</v>
      </c>
      <c r="I38" s="2">
        <f t="shared" si="2"/>
        <v>3539.8954055190761</v>
      </c>
      <c r="J38" s="2">
        <f t="shared" ref="J38:J67" si="3">-($C$25+$C$26)*B38</f>
        <v>-1260</v>
      </c>
      <c r="K38" s="24">
        <f t="shared" ref="K38:K67" si="4">(I38+J38)/$B$32</f>
        <v>0.11520813807310805</v>
      </c>
      <c r="L38" s="24">
        <f>I38/($M$37-$B$14-'Amort Schedule - Investor'!G28)</f>
        <v>0.23485740343186459</v>
      </c>
      <c r="M38" s="60">
        <f>M37*(1+$B$29)</f>
        <v>72660</v>
      </c>
    </row>
    <row r="39" spans="1:13" x14ac:dyDescent="0.2">
      <c r="A39" s="1">
        <f t="shared" ref="A39:A66" si="5">A38+1</f>
        <v>3</v>
      </c>
      <c r="B39" s="5">
        <f t="shared" ref="B39:B66" si="6">B38*(1+$B$28)</f>
        <v>13230</v>
      </c>
      <c r="C39" s="5">
        <f t="shared" ref="C39:C66" si="7">C38</f>
        <v>4698.7214974746757</v>
      </c>
      <c r="D39" s="5">
        <f t="shared" ref="D39:D66" si="8">(D38*(1+$B$28))</f>
        <v>3969</v>
      </c>
      <c r="E39" s="5">
        <f>'Amort Schedule - Investor'!E40-'Amort Schedule - Investor'!E28+('Sale to Retail Investor'!$C$16*12)</f>
        <v>4099.2308783834706</v>
      </c>
      <c r="F39" s="5">
        <f t="shared" ref="F39:F63" si="9">F38</f>
        <v>1909.090909090909</v>
      </c>
      <c r="G39" s="2">
        <f t="shared" si="0"/>
        <v>3252.6782125256204</v>
      </c>
      <c r="H39" s="2">
        <f t="shared" si="1"/>
        <v>683.06242463038029</v>
      </c>
      <c r="I39" s="2">
        <f t="shared" si="2"/>
        <v>3879.2160778949446</v>
      </c>
      <c r="J39" s="2">
        <f t="shared" si="3"/>
        <v>-1323</v>
      </c>
      <c r="K39" s="35">
        <f t="shared" si="4"/>
        <v>0.12917123045816647</v>
      </c>
      <c r="L39" s="24">
        <f>I39/($M$37-$B$14-'Amort Schedule - Investor'!G40)</f>
        <v>0.24752493744767187</v>
      </c>
      <c r="M39" s="60">
        <f t="shared" ref="M39:M66" si="10">M38*(1+$B$29)</f>
        <v>75421.08</v>
      </c>
    </row>
    <row r="40" spans="1:13" s="6" customFormat="1" x14ac:dyDescent="0.2">
      <c r="A40" s="1">
        <f t="shared" si="5"/>
        <v>4</v>
      </c>
      <c r="B40" s="2">
        <f t="shared" si="6"/>
        <v>13891.5</v>
      </c>
      <c r="C40" s="2">
        <f t="shared" si="7"/>
        <v>4698.7214974746757</v>
      </c>
      <c r="D40" s="2">
        <f t="shared" si="8"/>
        <v>4167.45</v>
      </c>
      <c r="E40" s="2">
        <f>'Amort Schedule - Investor'!E52-'Amort Schedule - Investor'!E40+('Sale to Retail Investor'!$C$16*12)</f>
        <v>4052.6908636336084</v>
      </c>
      <c r="F40" s="2">
        <f t="shared" si="9"/>
        <v>1909.090909090909</v>
      </c>
      <c r="G40" s="2">
        <f t="shared" si="0"/>
        <v>3762.2682272754819</v>
      </c>
      <c r="H40" s="2">
        <f t="shared" si="1"/>
        <v>790.07632772785121</v>
      </c>
      <c r="I40" s="2">
        <f t="shared" si="2"/>
        <v>4235.2521747974743</v>
      </c>
      <c r="J40" s="2">
        <f t="shared" si="3"/>
        <v>-1389.15</v>
      </c>
      <c r="K40" s="24">
        <f t="shared" si="4"/>
        <v>0.14381981363289212</v>
      </c>
      <c r="L40" s="24">
        <f>I40/($M$37-$B$14-'Amort Schedule - Investor'!G52)</f>
        <v>0.25954398274486268</v>
      </c>
      <c r="M40" s="60">
        <f t="shared" si="10"/>
        <v>78287.081040000005</v>
      </c>
    </row>
    <row r="41" spans="1:13" x14ac:dyDescent="0.2">
      <c r="A41" s="1">
        <f t="shared" si="5"/>
        <v>5</v>
      </c>
      <c r="B41" s="5">
        <f t="shared" si="6"/>
        <v>14586.075000000001</v>
      </c>
      <c r="C41" s="5">
        <f t="shared" si="7"/>
        <v>4698.7214974746757</v>
      </c>
      <c r="D41" s="5">
        <f t="shared" si="8"/>
        <v>4375.8225000000002</v>
      </c>
      <c r="E41" s="2">
        <f>'Amort Schedule - Investor'!E64-'Amort Schedule - Investor'!E52+('Sale to Retail Investor'!$C$16*12)</f>
        <v>4002.537826587919</v>
      </c>
      <c r="F41" s="5">
        <f t="shared" si="9"/>
        <v>1909.090909090909</v>
      </c>
      <c r="G41" s="2">
        <f t="shared" si="0"/>
        <v>4298.6237643211725</v>
      </c>
      <c r="H41" s="2">
        <f t="shared" si="1"/>
        <v>902.71099050744624</v>
      </c>
      <c r="I41" s="2">
        <f t="shared" si="2"/>
        <v>4608.820012017879</v>
      </c>
      <c r="J41" s="2">
        <f t="shared" si="3"/>
        <v>-1458.6075000000001</v>
      </c>
      <c r="K41" s="35">
        <f t="shared" si="4"/>
        <v>0.15918717901076609</v>
      </c>
      <c r="L41" s="24">
        <f>I41/($M$37-$B$14-'Amort Schedule - Investor'!G64)</f>
        <v>0.27088022844414794</v>
      </c>
      <c r="M41" s="60">
        <f t="shared" si="10"/>
        <v>81261.990119520007</v>
      </c>
    </row>
    <row r="42" spans="1:13" x14ac:dyDescent="0.2">
      <c r="A42" s="1">
        <f t="shared" si="5"/>
        <v>6</v>
      </c>
      <c r="B42" s="2">
        <f t="shared" si="6"/>
        <v>15315.378750000002</v>
      </c>
      <c r="C42" s="2">
        <f t="shared" si="7"/>
        <v>4698.7214974746757</v>
      </c>
      <c r="D42" s="2">
        <f t="shared" si="8"/>
        <v>4594.6136250000009</v>
      </c>
      <c r="E42" s="2">
        <f>'Amort Schedule - Investor'!E76-'Amort Schedule - Investor'!E64+('Sale to Retail Investor'!$C$16*12)</f>
        <v>3948.4912789358496</v>
      </c>
      <c r="F42" s="2">
        <f t="shared" si="9"/>
        <v>1909.090909090909</v>
      </c>
      <c r="G42" s="2">
        <f t="shared" si="0"/>
        <v>4863.1829369732432</v>
      </c>
      <c r="H42" s="2">
        <f t="shared" si="1"/>
        <v>1021.2684167643811</v>
      </c>
      <c r="I42" s="2">
        <f t="shared" si="2"/>
        <v>5000.7752107609422</v>
      </c>
      <c r="J42" s="2">
        <f t="shared" si="3"/>
        <v>-1531.5378750000002</v>
      </c>
      <c r="K42" s="24">
        <f t="shared" si="4"/>
        <v>0.17530820625331706</v>
      </c>
      <c r="L42" s="24">
        <f>I42/($M$37-$B$14-'Amort Schedule - Investor'!G76)</f>
        <v>0.28150439627677232</v>
      </c>
      <c r="M42" s="60">
        <f t="shared" si="10"/>
        <v>84349.94574406177</v>
      </c>
    </row>
    <row r="43" spans="1:13" x14ac:dyDescent="0.2">
      <c r="A43" s="1">
        <f t="shared" si="5"/>
        <v>7</v>
      </c>
      <c r="B43" s="2">
        <f t="shared" si="6"/>
        <v>16081.147687500003</v>
      </c>
      <c r="C43" s="2">
        <f t="shared" si="7"/>
        <v>4698.7214974746757</v>
      </c>
      <c r="D43" s="2">
        <f t="shared" si="8"/>
        <v>4824.344306250001</v>
      </c>
      <c r="E43" s="2">
        <f>'Amort Schedule - Investor'!E88-'Amort Schedule - Investor'!E76+('Sale to Retail Investor'!$C$16*12)</f>
        <v>3890.2489573303501</v>
      </c>
      <c r="F43" s="2">
        <f t="shared" si="9"/>
        <v>1909.090909090909</v>
      </c>
      <c r="G43" s="2">
        <f t="shared" si="0"/>
        <v>5457.4635148287425</v>
      </c>
      <c r="H43" s="2">
        <f t="shared" si="1"/>
        <v>1146.0673381140359</v>
      </c>
      <c r="I43" s="2">
        <f t="shared" si="2"/>
        <v>5412.0145456612881</v>
      </c>
      <c r="J43" s="2">
        <f t="shared" si="3"/>
        <v>-1608.1147687500004</v>
      </c>
      <c r="K43" s="24">
        <f t="shared" si="4"/>
        <v>0.19221943675739986</v>
      </c>
      <c r="L43" s="24">
        <f>I43/($M$37-$B$14-'Amort Schedule - Investor'!G88)</f>
        <v>0.29139247954874276</v>
      </c>
      <c r="M43" s="60">
        <f t="shared" si="10"/>
        <v>87555.24368233612</v>
      </c>
    </row>
    <row r="44" spans="1:13" x14ac:dyDescent="0.2">
      <c r="A44" s="1">
        <f t="shared" si="5"/>
        <v>8</v>
      </c>
      <c r="B44" s="2">
        <f t="shared" si="6"/>
        <v>16885.205071875003</v>
      </c>
      <c r="C44" s="2">
        <f t="shared" si="7"/>
        <v>4698.7214974746757</v>
      </c>
      <c r="D44" s="2">
        <f t="shared" si="8"/>
        <v>5065.5615215625012</v>
      </c>
      <c r="E44" s="2">
        <f>'Amort Schedule - Investor'!E100-'Amort Schedule - Investor'!E88+('Sale to Retail Investor'!$C$16*12)</f>
        <v>3827.4851329352205</v>
      </c>
      <c r="F44" s="2">
        <f t="shared" si="9"/>
        <v>1909.090909090909</v>
      </c>
      <c r="G44" s="2">
        <f t="shared" si="0"/>
        <v>6083.0675082863736</v>
      </c>
      <c r="H44" s="2">
        <f t="shared" si="1"/>
        <v>1277.4441767401383</v>
      </c>
      <c r="I44" s="2">
        <f t="shared" si="2"/>
        <v>5843.4778760976887</v>
      </c>
      <c r="J44" s="2">
        <f t="shared" si="3"/>
        <v>-1688.5205071875005</v>
      </c>
      <c r="K44" s="24">
        <f t="shared" si="4"/>
        <v>0.20995915035685503</v>
      </c>
      <c r="L44" s="24">
        <f>I44/($M$37-$B$14-'Amort Schedule - Investor'!G100)</f>
        <v>0.30052588885533349</v>
      </c>
      <c r="M44" s="60">
        <f t="shared" si="10"/>
        <v>90882.342942264891</v>
      </c>
    </row>
    <row r="45" spans="1:13" x14ac:dyDescent="0.2">
      <c r="A45" s="1">
        <f t="shared" si="5"/>
        <v>9</v>
      </c>
      <c r="B45" s="2">
        <f t="shared" si="6"/>
        <v>17729.465325468755</v>
      </c>
      <c r="C45" s="2">
        <f t="shared" si="7"/>
        <v>4698.7214974746757</v>
      </c>
      <c r="D45" s="2">
        <f t="shared" si="8"/>
        <v>5318.8395976406264</v>
      </c>
      <c r="E45" s="2">
        <f>'Amort Schedule - Investor'!E112-'Amort Schedule - Investor'!E100+('Sale to Retail Investor'!$C$16*12)</f>
        <v>3759.848789738131</v>
      </c>
      <c r="F45" s="2">
        <f t="shared" si="9"/>
        <v>1909.090909090909</v>
      </c>
      <c r="G45" s="2">
        <f t="shared" si="0"/>
        <v>6741.6860289990882</v>
      </c>
      <c r="H45" s="2">
        <f t="shared" si="1"/>
        <v>1415.7540660898085</v>
      </c>
      <c r="I45" s="2">
        <f t="shared" si="2"/>
        <v>6296.1501642636449</v>
      </c>
      <c r="J45" s="2">
        <f t="shared" si="3"/>
        <v>-1772.9465325468755</v>
      </c>
      <c r="K45" s="24">
        <f t="shared" si="4"/>
        <v>0.22856744536355844</v>
      </c>
      <c r="L45" s="24">
        <f>I45/($M$37-$B$14-'Amort Schedule - Investor'!G112)</f>
        <v>0.30889150416211369</v>
      </c>
      <c r="M45" s="60">
        <f t="shared" si="10"/>
        <v>94335.871974070964</v>
      </c>
    </row>
    <row r="46" spans="1:13" x14ac:dyDescent="0.2">
      <c r="A46" s="1">
        <f t="shared" si="5"/>
        <v>10</v>
      </c>
      <c r="B46" s="2">
        <f t="shared" si="6"/>
        <v>18615.938591742193</v>
      </c>
      <c r="C46" s="2">
        <f t="shared" si="7"/>
        <v>4698.7214974746757</v>
      </c>
      <c r="D46" s="2">
        <f t="shared" si="8"/>
        <v>5584.7815775226582</v>
      </c>
      <c r="E46" s="2">
        <f>'Amort Schedule - Investor'!E124-'Amort Schedule - Investor'!E112+('Sale to Retail Investor'!$C$16*12)</f>
        <v>3686.9616614415499</v>
      </c>
      <c r="F46" s="2">
        <f t="shared" si="9"/>
        <v>1909.090909090909</v>
      </c>
      <c r="G46" s="2">
        <f t="shared" si="0"/>
        <v>7435.1044436870752</v>
      </c>
      <c r="H46" s="2">
        <f t="shared" si="1"/>
        <v>1561.3719331742857</v>
      </c>
      <c r="I46" s="2">
        <f t="shared" si="2"/>
        <v>6771.0635835705752</v>
      </c>
      <c r="J46" s="2">
        <f t="shared" si="3"/>
        <v>-1861.5938591742195</v>
      </c>
      <c r="K46" s="24">
        <f t="shared" si="4"/>
        <v>0.24808632207635128</v>
      </c>
      <c r="L46" s="24">
        <f>I46/($M$37-$B$14-'Amort Schedule - Investor'!G124)</f>
        <v>0.31648163573342336</v>
      </c>
      <c r="M46" s="60">
        <f t="shared" si="10"/>
        <v>97920.635109085662</v>
      </c>
    </row>
    <row r="47" spans="1:13" x14ac:dyDescent="0.2">
      <c r="A47" s="1">
        <f t="shared" si="5"/>
        <v>11</v>
      </c>
      <c r="B47" s="2">
        <f t="shared" si="6"/>
        <v>19546.735521329305</v>
      </c>
      <c r="C47" s="2">
        <f t="shared" si="7"/>
        <v>4698.7214974746757</v>
      </c>
      <c r="D47" s="2">
        <f t="shared" si="8"/>
        <v>5864.0206563987913</v>
      </c>
      <c r="E47" s="2">
        <f>'Amort Schedule - Investor'!E136-'Amort Schedule - Investor'!E124+('Sale to Retail Investor'!$C$16*12)</f>
        <v>3608.4161159521536</v>
      </c>
      <c r="F47" s="2">
        <f t="shared" si="9"/>
        <v>1909.090909090909</v>
      </c>
      <c r="G47" s="2">
        <f t="shared" si="0"/>
        <v>8165.2078398874501</v>
      </c>
      <c r="H47" s="2">
        <f t="shared" si="1"/>
        <v>1714.6936463763645</v>
      </c>
      <c r="I47" s="2">
        <f t="shared" si="2"/>
        <v>7269.2997210794738</v>
      </c>
      <c r="J47" s="2">
        <f t="shared" si="3"/>
        <v>-1954.6735521329306</v>
      </c>
      <c r="K47" s="24">
        <f t="shared" si="4"/>
        <v>0.26855976988976982</v>
      </c>
      <c r="L47" s="24">
        <f>I47/($M$37-$B$14-'Amort Schedule - Investor'!G136)</f>
        <v>0.32329389901468941</v>
      </c>
      <c r="M47" s="60">
        <f t="shared" si="10"/>
        <v>101641.61924323092</v>
      </c>
    </row>
    <row r="48" spans="1:13" x14ac:dyDescent="0.2">
      <c r="A48" s="1">
        <f t="shared" si="5"/>
        <v>12</v>
      </c>
      <c r="B48" s="2">
        <f t="shared" si="6"/>
        <v>20524.072297395771</v>
      </c>
      <c r="C48" s="2">
        <f t="shared" si="7"/>
        <v>4698.7214974746757</v>
      </c>
      <c r="D48" s="2">
        <f t="shared" si="8"/>
        <v>6157.2216892187307</v>
      </c>
      <c r="E48" s="2">
        <f>'Amort Schedule - Investor'!E148-'Amort Schedule - Investor'!E136+('Sale to Retail Investor'!$C$16*12)</f>
        <v>3523.7728756378419</v>
      </c>
      <c r="F48" s="2">
        <f t="shared" si="9"/>
        <v>1909.090909090909</v>
      </c>
      <c r="G48" s="2">
        <f t="shared" si="0"/>
        <v>8933.9868234482892</v>
      </c>
      <c r="H48" s="2">
        <f t="shared" si="1"/>
        <v>1876.1372329241406</v>
      </c>
      <c r="I48" s="2">
        <f t="shared" si="2"/>
        <v>7791.991877778225</v>
      </c>
      <c r="J48" s="2">
        <f t="shared" si="3"/>
        <v>-2052.4072297395774</v>
      </c>
      <c r="K48" s="24">
        <f t="shared" si="4"/>
        <v>0.29003385813788163</v>
      </c>
      <c r="L48" s="24">
        <f>I48/($M$37-$B$14-'Amort Schedule - Investor'!G148)</f>
        <v>0.32933101084992811</v>
      </c>
      <c r="M48" s="60">
        <f t="shared" si="10"/>
        <v>105504.00077447369</v>
      </c>
    </row>
    <row r="49" spans="1:13" x14ac:dyDescent="0.2">
      <c r="A49" s="1">
        <f t="shared" si="5"/>
        <v>13</v>
      </c>
      <c r="B49" s="2">
        <f t="shared" si="6"/>
        <v>21550.275912265559</v>
      </c>
      <c r="C49" s="2">
        <f t="shared" si="7"/>
        <v>4698.7214974746757</v>
      </c>
      <c r="D49" s="2">
        <f t="shared" si="8"/>
        <v>6465.0827736796673</v>
      </c>
      <c r="E49" s="2">
        <f>'Amort Schedule - Investor'!E160-'Amort Schedule - Investor'!E148+('Sale to Retail Investor'!$C$16*12)</f>
        <v>3432.5585606023305</v>
      </c>
      <c r="F49" s="2">
        <f t="shared" si="9"/>
        <v>1909.090909090909</v>
      </c>
      <c r="G49" s="2">
        <f t="shared" si="0"/>
        <v>9743.5436688926529</v>
      </c>
      <c r="H49" s="2">
        <f t="shared" si="1"/>
        <v>2046.1441704674571</v>
      </c>
      <c r="I49" s="2">
        <f t="shared" si="2"/>
        <v>8340.3274706437587</v>
      </c>
      <c r="J49" s="2">
        <f t="shared" si="3"/>
        <v>-2155.0275912265561</v>
      </c>
      <c r="K49" s="24">
        <f t="shared" si="4"/>
        <v>0.31255683081182178</v>
      </c>
      <c r="L49" s="24">
        <f>I49/($M$37-$B$14-'Amort Schedule - Investor'!G160)</f>
        <v>0.3346005162570535</v>
      </c>
      <c r="M49" s="60">
        <f t="shared" si="10"/>
        <v>109513.15280390369</v>
      </c>
    </row>
    <row r="50" spans="1:13" x14ac:dyDescent="0.2">
      <c r="A50" s="1">
        <f t="shared" si="5"/>
        <v>14</v>
      </c>
      <c r="B50" s="2">
        <f t="shared" si="6"/>
        <v>22627.789707878837</v>
      </c>
      <c r="C50" s="2">
        <f t="shared" si="7"/>
        <v>4698.7214974746757</v>
      </c>
      <c r="D50" s="2">
        <f t="shared" si="8"/>
        <v>6788.3369123636512</v>
      </c>
      <c r="E50" s="2">
        <f>'Amort Schedule - Investor'!E172-'Amort Schedule - Investor'!E160+('Sale to Retail Investor'!$C$16*12)</f>
        <v>3334.2630412377403</v>
      </c>
      <c r="F50" s="2">
        <f t="shared" si="9"/>
        <v>1909.090909090909</v>
      </c>
      <c r="G50" s="2">
        <f t="shared" si="0"/>
        <v>10596.098845186538</v>
      </c>
      <c r="H50" s="2">
        <f t="shared" si="1"/>
        <v>2225.1807574891727</v>
      </c>
      <c r="I50" s="2">
        <f t="shared" si="2"/>
        <v>8915.5505405513395</v>
      </c>
      <c r="J50" s="2">
        <f t="shared" si="3"/>
        <v>-2262.7789707878837</v>
      </c>
      <c r="K50" s="24">
        <f t="shared" si="4"/>
        <v>0.33617920529282064</v>
      </c>
      <c r="L50" s="24">
        <f>I50/($M$37-$B$14-'Amort Schedule - Investor'!G172)</f>
        <v>0.339114456339694</v>
      </c>
      <c r="M50" s="60">
        <f t="shared" si="10"/>
        <v>113674.65261045203</v>
      </c>
    </row>
    <row r="51" spans="1:13" x14ac:dyDescent="0.2">
      <c r="A51" s="1">
        <f t="shared" si="5"/>
        <v>15</v>
      </c>
      <c r="B51" s="2">
        <f t="shared" si="6"/>
        <v>23759.179193272779</v>
      </c>
      <c r="C51" s="2">
        <f t="shared" si="7"/>
        <v>4698.7214974746757</v>
      </c>
      <c r="D51" s="2">
        <f t="shared" si="8"/>
        <v>7127.7537579818345</v>
      </c>
      <c r="E51" s="2">
        <f>'Amort Schedule - Investor'!E184-'Amort Schedule - Investor'!E172+('Sale to Retail Investor'!$C$16*12)</f>
        <v>3228.3365852489806</v>
      </c>
      <c r="F51" s="2">
        <f t="shared" si="9"/>
        <v>1909.090909090909</v>
      </c>
      <c r="G51" s="2">
        <f t="shared" si="0"/>
        <v>11493.997940951056</v>
      </c>
      <c r="H51" s="2">
        <f t="shared" si="1"/>
        <v>2413.7395675997218</v>
      </c>
      <c r="I51" s="2">
        <f t="shared" si="2"/>
        <v>9518.9643702165486</v>
      </c>
      <c r="J51" s="2">
        <f t="shared" si="3"/>
        <v>-2375.917919327278</v>
      </c>
      <c r="K51" s="24">
        <f t="shared" si="4"/>
        <v>0.36095387524556771</v>
      </c>
      <c r="L51" s="24">
        <f>I51/($M$37-$B$14-'Amort Schedule - Investor'!G184)</f>
        <v>0.3428889887656057</v>
      </c>
      <c r="M51" s="60">
        <f t="shared" si="10"/>
        <v>117994.28940964921</v>
      </c>
    </row>
    <row r="52" spans="1:13" x14ac:dyDescent="0.2">
      <c r="A52" s="1">
        <f t="shared" si="5"/>
        <v>16</v>
      </c>
      <c r="B52" s="2">
        <f t="shared" si="6"/>
        <v>24947.138152936419</v>
      </c>
      <c r="C52" s="2">
        <f t="shared" si="7"/>
        <v>4698.7214974746757</v>
      </c>
      <c r="D52" s="2">
        <f t="shared" si="8"/>
        <v>7484.1414458809268</v>
      </c>
      <c r="E52" s="2">
        <f>'Amort Schedule - Investor'!E196-'Amort Schedule - Investor'!E184+('Sale to Retail Investor'!$C$16*12)</f>
        <v>3114.1867831942145</v>
      </c>
      <c r="F52" s="2">
        <f t="shared" si="9"/>
        <v>1909.090909090909</v>
      </c>
      <c r="G52" s="2">
        <f t="shared" si="0"/>
        <v>12439.71901477037</v>
      </c>
      <c r="H52" s="2">
        <f t="shared" si="1"/>
        <v>2612.3409931017777</v>
      </c>
      <c r="I52" s="2">
        <f t="shared" si="2"/>
        <v>10151.93421647904</v>
      </c>
      <c r="J52" s="2">
        <f t="shared" si="3"/>
        <v>-2494.7138152936423</v>
      </c>
      <c r="K52" s="24">
        <f t="shared" si="4"/>
        <v>0.38693621781966692</v>
      </c>
      <c r="L52" s="24">
        <f>I52/($M$37-$B$14-'Amort Schedule - Investor'!G196)</f>
        <v>0.34594397259903265</v>
      </c>
      <c r="M52" s="60">
        <f t="shared" si="10"/>
        <v>122478.07240721588</v>
      </c>
    </row>
    <row r="53" spans="1:13" x14ac:dyDescent="0.2">
      <c r="A53" s="1">
        <f t="shared" si="5"/>
        <v>17</v>
      </c>
      <c r="B53" s="2">
        <f t="shared" si="6"/>
        <v>26194.495060583242</v>
      </c>
      <c r="C53" s="2">
        <f t="shared" si="7"/>
        <v>4698.7214974746757</v>
      </c>
      <c r="D53" s="2">
        <f t="shared" si="8"/>
        <v>7858.3485181749738</v>
      </c>
      <c r="E53" s="2">
        <f>'Amort Schedule - Investor'!E208-'Amort Schedule - Investor'!E196+('Sale to Retail Investor'!$C$16*12)</f>
        <v>2991.175235347022</v>
      </c>
      <c r="F53" s="2">
        <f t="shared" si="9"/>
        <v>1909.090909090909</v>
      </c>
      <c r="G53" s="2">
        <f t="shared" si="0"/>
        <v>13435.880397970337</v>
      </c>
      <c r="H53" s="2">
        <f t="shared" si="1"/>
        <v>2821.5348835737705</v>
      </c>
      <c r="I53" s="2">
        <f t="shared" si="2"/>
        <v>10815.890161359821</v>
      </c>
      <c r="J53" s="2">
        <f t="shared" si="3"/>
        <v>-2619.4495060583245</v>
      </c>
      <c r="K53" s="24">
        <f t="shared" si="4"/>
        <v>0.41418420530963695</v>
      </c>
      <c r="L53" s="24">
        <f>I53/($M$37-$B$14-'Amort Schedule - Investor'!G208)</f>
        <v>0.34830252917385862</v>
      </c>
      <c r="M53" s="60">
        <f t="shared" si="10"/>
        <v>127132.23915869008</v>
      </c>
    </row>
    <row r="54" spans="1:13" x14ac:dyDescent="0.2">
      <c r="A54" s="1">
        <f t="shared" si="5"/>
        <v>18</v>
      </c>
      <c r="B54" s="2">
        <f t="shared" si="6"/>
        <v>27504.219813612406</v>
      </c>
      <c r="C54" s="2">
        <f t="shared" si="7"/>
        <v>4698.7214974746757</v>
      </c>
      <c r="D54" s="2">
        <f t="shared" si="8"/>
        <v>8251.2659440837233</v>
      </c>
      <c r="E54" s="2">
        <f>'Amort Schedule - Investor'!E220-'Amort Schedule - Investor'!E208+('Sale to Retail Investor'!$C$16*12)</f>
        <v>2858.6139813511545</v>
      </c>
      <c r="F54" s="2">
        <f t="shared" si="9"/>
        <v>1909.090909090909</v>
      </c>
      <c r="G54" s="2">
        <f t="shared" si="0"/>
        <v>14485.24897908662</v>
      </c>
      <c r="H54" s="2">
        <f t="shared" si="1"/>
        <v>3041.9022856081901</v>
      </c>
      <c r="I54" s="2">
        <f t="shared" si="2"/>
        <v>11512.330086445818</v>
      </c>
      <c r="J54" s="2">
        <f t="shared" si="3"/>
        <v>-2750.4219813612408</v>
      </c>
      <c r="K54" s="24">
        <f t="shared" si="4"/>
        <v>0.44275852142639993</v>
      </c>
      <c r="L54" s="24">
        <f>I54/($M$37-$B$14-'Amort Schedule - Investor'!G220)</f>
        <v>0.34999059019284495</v>
      </c>
      <c r="M54" s="60">
        <f t="shared" si="10"/>
        <v>131963.2642467203</v>
      </c>
    </row>
    <row r="55" spans="1:13" x14ac:dyDescent="0.2">
      <c r="A55" s="1">
        <f t="shared" si="5"/>
        <v>19</v>
      </c>
      <c r="B55" s="2">
        <f t="shared" si="6"/>
        <v>28879.430804293028</v>
      </c>
      <c r="C55" s="2">
        <f t="shared" si="7"/>
        <v>4698.7214974746757</v>
      </c>
      <c r="D55" s="2">
        <f t="shared" si="8"/>
        <v>8663.8292412879091</v>
      </c>
      <c r="E55" s="2">
        <f>'Amort Schedule - Investor'!E232-'Amort Schedule - Investor'!E220+('Sale to Retail Investor'!$C$16*12)</f>
        <v>2715.7616526999773</v>
      </c>
      <c r="F55" s="2">
        <f t="shared" si="9"/>
        <v>1909.090909090909</v>
      </c>
      <c r="G55" s="2">
        <f t="shared" si="0"/>
        <v>15590.749001214233</v>
      </c>
      <c r="H55" s="2">
        <f t="shared" si="1"/>
        <v>3274.0572902549889</v>
      </c>
      <c r="I55" s="2">
        <f t="shared" si="2"/>
        <v>12242.822775275454</v>
      </c>
      <c r="J55" s="2">
        <f t="shared" si="3"/>
        <v>-2887.9430804293029</v>
      </c>
      <c r="K55" s="24">
        <f t="shared" si="4"/>
        <v>0.47272268233540798</v>
      </c>
      <c r="L55" s="24">
        <f>I55/($M$37-$B$14-'Amort Schedule - Investor'!G232)</f>
        <v>0.35103644340621265</v>
      </c>
      <c r="M55" s="60">
        <f t="shared" si="10"/>
        <v>136977.86828809566</v>
      </c>
    </row>
    <row r="56" spans="1:13" x14ac:dyDescent="0.2">
      <c r="A56" s="1">
        <f t="shared" si="5"/>
        <v>20</v>
      </c>
      <c r="B56" s="2">
        <f t="shared" si="6"/>
        <v>30323.402344507682</v>
      </c>
      <c r="C56" s="2">
        <f t="shared" si="7"/>
        <v>4698.7214974746757</v>
      </c>
      <c r="D56" s="2">
        <f t="shared" si="8"/>
        <v>9097.0207033523056</v>
      </c>
      <c r="E56" s="2">
        <f>'Amort Schedule - Investor'!E244-'Amort Schedule - Investor'!E232+('Sale to Retail Investor'!$C$16*12)</f>
        <v>2561.8193265229784</v>
      </c>
      <c r="F56" s="2">
        <f t="shared" si="9"/>
        <v>1909.090909090909</v>
      </c>
      <c r="G56" s="2">
        <f t="shared" si="0"/>
        <v>16755.471405541492</v>
      </c>
      <c r="H56" s="2">
        <f t="shared" si="1"/>
        <v>3518.6489951637132</v>
      </c>
      <c r="I56" s="2">
        <f t="shared" si="2"/>
        <v>13009.011148516989</v>
      </c>
      <c r="J56" s="2">
        <f t="shared" si="3"/>
        <v>-3032.3402344507685</v>
      </c>
      <c r="K56" s="24">
        <f t="shared" si="4"/>
        <v>0.50414316261846825</v>
      </c>
      <c r="L56" s="24">
        <f>I56/($M$37-$B$14-'Amort Schedule - Investor'!G244)</f>
        <v>0.35147028513848222</v>
      </c>
      <c r="M56" s="60">
        <f t="shared" si="10"/>
        <v>142183.02728304331</v>
      </c>
    </row>
    <row r="57" spans="1:13" x14ac:dyDescent="0.2">
      <c r="A57" s="1">
        <f t="shared" si="5"/>
        <v>21</v>
      </c>
      <c r="B57" s="2">
        <f t="shared" si="6"/>
        <v>31839.572461733067</v>
      </c>
      <c r="C57" s="2">
        <f t="shared" si="7"/>
        <v>4698.7214974746757</v>
      </c>
      <c r="D57" s="2">
        <f t="shared" si="8"/>
        <v>9551.8717385199216</v>
      </c>
      <c r="E57" s="2">
        <f>'Amort Schedule - Investor'!E256-'Amort Schedule - Investor'!E244+('Sale to Retail Investor'!$C$16*12)</f>
        <v>2395.926057490884</v>
      </c>
      <c r="F57" s="2">
        <f t="shared" si="9"/>
        <v>1909.090909090909</v>
      </c>
      <c r="G57" s="2">
        <f t="shared" si="0"/>
        <v>17982.683756631352</v>
      </c>
      <c r="H57" s="2">
        <f t="shared" si="1"/>
        <v>3776.3635888925837</v>
      </c>
      <c r="I57" s="2">
        <f t="shared" si="2"/>
        <v>13812.615636845889</v>
      </c>
      <c r="J57" s="2">
        <f t="shared" si="3"/>
        <v>-3183.9572461733069</v>
      </c>
      <c r="K57" s="24">
        <f t="shared" si="4"/>
        <v>0.53708952631785978</v>
      </c>
      <c r="L57" s="24">
        <f>I57/($M$37-$B$14-'Amort Schedule - Investor'!G256)</f>
        <v>0.35132378767551653</v>
      </c>
      <c r="M57" s="60">
        <f t="shared" si="10"/>
        <v>147585.98231979896</v>
      </c>
    </row>
    <row r="58" spans="1:13" x14ac:dyDescent="0.2">
      <c r="A58" s="1">
        <f t="shared" si="5"/>
        <v>22</v>
      </c>
      <c r="B58" s="2">
        <f t="shared" si="6"/>
        <v>33431.551084819723</v>
      </c>
      <c r="C58" s="2">
        <f t="shared" si="7"/>
        <v>4698.7214974746757</v>
      </c>
      <c r="D58" s="2">
        <f t="shared" si="8"/>
        <v>10029.465325445917</v>
      </c>
      <c r="E58" s="2">
        <f>'Amort Schedule - Investor'!E268-'Amort Schedule - Investor'!E256+('Sale to Retail Investor'!$C$16*12)</f>
        <v>2217.1540628511284</v>
      </c>
      <c r="F58" s="2">
        <f t="shared" si="9"/>
        <v>1909.090909090909</v>
      </c>
      <c r="G58" s="2">
        <f t="shared" si="0"/>
        <v>19275.840787431767</v>
      </c>
      <c r="H58" s="2">
        <f t="shared" si="1"/>
        <v>4047.9265653606708</v>
      </c>
      <c r="I58" s="2">
        <f t="shared" si="2"/>
        <v>14655.43769653846</v>
      </c>
      <c r="J58" s="2">
        <f t="shared" si="3"/>
        <v>-3343.1551084819725</v>
      </c>
      <c r="K58" s="24">
        <f t="shared" si="4"/>
        <v>0.57163456322247641</v>
      </c>
      <c r="L58" s="24">
        <f>I58/($M$37-$B$14-'Amort Schedule - Investor'!G268)</f>
        <v>0.35062968817041668</v>
      </c>
      <c r="M58" s="60">
        <f t="shared" si="10"/>
        <v>153194.24964795134</v>
      </c>
    </row>
    <row r="59" spans="1:13" x14ac:dyDescent="0.2">
      <c r="A59" s="1">
        <f t="shared" si="5"/>
        <v>23</v>
      </c>
      <c r="B59" s="2">
        <f t="shared" si="6"/>
        <v>35103.128639060713</v>
      </c>
      <c r="C59" s="2">
        <f t="shared" si="7"/>
        <v>4698.7214974746757</v>
      </c>
      <c r="D59" s="2">
        <f t="shared" si="8"/>
        <v>10530.938591718214</v>
      </c>
      <c r="E59" s="2">
        <f>'Amort Schedule - Investor'!E280-'Amort Schedule - Investor'!E268+('Sale to Retail Investor'!$C$16*12)</f>
        <v>2024.5035336648143</v>
      </c>
      <c r="F59" s="2">
        <f t="shared" si="9"/>
        <v>1909.090909090909</v>
      </c>
      <c r="G59" s="2">
        <f t="shared" si="0"/>
        <v>20638.595604586775</v>
      </c>
      <c r="H59" s="2">
        <f t="shared" si="1"/>
        <v>4334.1050769632229</v>
      </c>
      <c r="I59" s="2">
        <f t="shared" si="2"/>
        <v>15539.363472904601</v>
      </c>
      <c r="J59" s="2">
        <f t="shared" si="3"/>
        <v>-3510.3128639060715</v>
      </c>
      <c r="K59" s="24">
        <f t="shared" si="4"/>
        <v>0.60785443055638078</v>
      </c>
      <c r="L59" s="24">
        <f>I59/($M$37-$B$14-'Amort Schedule - Investor'!G280)</f>
        <v>0.34942140434611307</v>
      </c>
      <c r="M59" s="60">
        <f t="shared" si="10"/>
        <v>159015.63113457349</v>
      </c>
    </row>
    <row r="60" spans="1:13" x14ac:dyDescent="0.2">
      <c r="A60" s="1">
        <f t="shared" si="5"/>
        <v>24</v>
      </c>
      <c r="B60" s="2">
        <f t="shared" si="6"/>
        <v>36858.28507101375</v>
      </c>
      <c r="C60" s="2">
        <f t="shared" si="7"/>
        <v>4698.7214974746757</v>
      </c>
      <c r="D60" s="2">
        <f t="shared" si="8"/>
        <v>11057.485521304125</v>
      </c>
      <c r="E60" s="2">
        <f>'Amort Schedule - Investor'!E292-'Amort Schedule - Investor'!E280+('Sale to Retail Investor'!$C$16*12)</f>
        <v>1816.8970432267524</v>
      </c>
      <c r="F60" s="2">
        <f t="shared" si="9"/>
        <v>1909.090909090909</v>
      </c>
      <c r="G60" s="2">
        <f t="shared" si="0"/>
        <v>22074.811597391967</v>
      </c>
      <c r="H60" s="2">
        <f t="shared" si="1"/>
        <v>4635.7104354523126</v>
      </c>
      <c r="I60" s="2">
        <f t="shared" si="2"/>
        <v>16466.367616782642</v>
      </c>
      <c r="J60" s="2">
        <f t="shared" si="3"/>
        <v>-3685.8285071013752</v>
      </c>
      <c r="K60" s="24">
        <f t="shared" si="4"/>
        <v>0.64582880023028189</v>
      </c>
      <c r="L60" s="24">
        <f>I60/($M$37-$B$14-'Amort Schedule - Investor'!G292)</f>
        <v>0.34773268092301685</v>
      </c>
      <c r="M60" s="60">
        <f t="shared" si="10"/>
        <v>165058.22511768728</v>
      </c>
    </row>
    <row r="61" spans="1:13" x14ac:dyDescent="0.2">
      <c r="A61" s="1">
        <f t="shared" si="5"/>
        <v>25</v>
      </c>
      <c r="B61" s="2">
        <f t="shared" si="6"/>
        <v>38701.199324564441</v>
      </c>
      <c r="C61" s="2">
        <f t="shared" si="7"/>
        <v>4698.7214974746757</v>
      </c>
      <c r="D61" s="2">
        <f t="shared" si="8"/>
        <v>11610.359797369332</v>
      </c>
      <c r="E61" s="2">
        <f>'Amort Schedule - Investor'!E304-'Amort Schedule - Investor'!E292+('Sale to Retail Investor'!$C$16*12)</f>
        <v>1593.1735213966604</v>
      </c>
      <c r="F61" s="2">
        <f t="shared" si="9"/>
        <v>1909.090909090909</v>
      </c>
      <c r="G61" s="2">
        <f t="shared" si="0"/>
        <v>23588.57509670754</v>
      </c>
      <c r="H61" s="2">
        <f t="shared" si="1"/>
        <v>4953.6007703085834</v>
      </c>
      <c r="I61" s="2">
        <f t="shared" si="2"/>
        <v>17438.517259411848</v>
      </c>
      <c r="J61" s="2">
        <f t="shared" si="3"/>
        <v>-3870.1199324564441</v>
      </c>
      <c r="K61" s="24">
        <f t="shared" si="4"/>
        <v>0.68564101181596471</v>
      </c>
      <c r="L61" s="24">
        <f>I61/($M$37-$B$14-'Amort Schedule - Investor'!G304)</f>
        <v>0.34559726942910379</v>
      </c>
      <c r="M61" s="60">
        <f t="shared" si="10"/>
        <v>171330.4376721594</v>
      </c>
    </row>
    <row r="62" spans="1:13" x14ac:dyDescent="0.2">
      <c r="A62" s="1">
        <f t="shared" si="5"/>
        <v>26</v>
      </c>
      <c r="B62" s="2">
        <f t="shared" si="6"/>
        <v>40636.259290792666</v>
      </c>
      <c r="C62" s="2">
        <f t="shared" si="7"/>
        <v>4698.7214974746757</v>
      </c>
      <c r="D62" s="2">
        <f t="shared" si="8"/>
        <v>12190.8777872378</v>
      </c>
      <c r="E62" s="2">
        <f>'Amort Schedule - Investor'!E316-'Amort Schedule - Investor'!E304+('Sale to Retail Investor'!$C$16*12)</f>
        <v>1352.0817611416132</v>
      </c>
      <c r="F62" s="2">
        <f t="shared" si="9"/>
        <v>1909.090909090909</v>
      </c>
      <c r="G62" s="2">
        <f t="shared" si="0"/>
        <v>25184.208833322347</v>
      </c>
      <c r="H62" s="2">
        <f t="shared" si="1"/>
        <v>5288.6838549976928</v>
      </c>
      <c r="I62" s="2">
        <f t="shared" si="2"/>
        <v>18457.976151082497</v>
      </c>
      <c r="J62" s="2">
        <f t="shared" si="3"/>
        <v>-4063.6259290792668</v>
      </c>
      <c r="K62" s="24">
        <f t="shared" si="4"/>
        <v>0.72737823140253099</v>
      </c>
      <c r="L62" s="24">
        <f>I62/($M$37-$B$14-'Amort Schedule - Investor'!G316)</f>
        <v>0.34304864289251008</v>
      </c>
      <c r="M62" s="60">
        <f t="shared" si="10"/>
        <v>177840.99430370147</v>
      </c>
    </row>
    <row r="63" spans="1:13" x14ac:dyDescent="0.2">
      <c r="A63" s="1">
        <f t="shared" si="5"/>
        <v>27</v>
      </c>
      <c r="B63" s="2">
        <f t="shared" si="6"/>
        <v>42668.072255332299</v>
      </c>
      <c r="C63" s="2">
        <f t="shared" si="7"/>
        <v>4698.7214974746757</v>
      </c>
      <c r="D63" s="2">
        <f t="shared" si="8"/>
        <v>12800.42167659969</v>
      </c>
      <c r="E63" s="2">
        <f>'Amort Schedule - Investor'!E328-'Amort Schedule - Investor'!E316+('Sale to Retail Investor'!$C$16*12)</f>
        <v>1092.2734209752525</v>
      </c>
      <c r="F63" s="2">
        <f t="shared" si="9"/>
        <v>1909.090909090909</v>
      </c>
      <c r="G63" s="2">
        <f t="shared" si="0"/>
        <v>26866.286248666449</v>
      </c>
      <c r="H63" s="2">
        <f t="shared" si="1"/>
        <v>5641.9201122199538</v>
      </c>
      <c r="I63" s="2">
        <f t="shared" si="2"/>
        <v>19527.008969037983</v>
      </c>
      <c r="J63" s="2">
        <f t="shared" si="3"/>
        <v>-4266.8072255332299</v>
      </c>
      <c r="K63" s="24">
        <f t="shared" si="4"/>
        <v>0.77113161649137307</v>
      </c>
      <c r="L63" s="24">
        <f>I63/($M$37-$B$14-'Amort Schedule - Investor'!G328)</f>
        <v>0.34011974589670552</v>
      </c>
      <c r="M63" s="60">
        <f t="shared" si="10"/>
        <v>184598.95208724213</v>
      </c>
    </row>
    <row r="64" spans="1:13" x14ac:dyDescent="0.2">
      <c r="A64" s="1">
        <f t="shared" si="5"/>
        <v>28</v>
      </c>
      <c r="B64" s="2">
        <f t="shared" si="6"/>
        <v>44801.475868098918</v>
      </c>
      <c r="C64" s="2">
        <f t="shared" si="7"/>
        <v>4698.7214974746757</v>
      </c>
      <c r="D64" s="2">
        <f t="shared" si="8"/>
        <v>13440.442760429674</v>
      </c>
      <c r="E64" s="2">
        <f>'Amort Schedule - Investor'!E340-'Amort Schedule - Investor'!E328+('Sale to Retail Investor'!$C$16*12)</f>
        <v>812.29548415725003</v>
      </c>
      <c r="F64" s="2">
        <f>F63/2</f>
        <v>954.5454545454545</v>
      </c>
      <c r="G64" s="2">
        <f t="shared" si="0"/>
        <v>29594.19216896654</v>
      </c>
      <c r="H64" s="2">
        <f t="shared" si="1"/>
        <v>6214.7803554829734</v>
      </c>
      <c r="I64" s="2">
        <f t="shared" si="2"/>
        <v>20447.531254711597</v>
      </c>
      <c r="J64" s="2">
        <f t="shared" si="3"/>
        <v>-4480.1475868098923</v>
      </c>
      <c r="K64" s="24">
        <f t="shared" si="4"/>
        <v>0.80686707724606543</v>
      </c>
      <c r="L64" s="24">
        <f>I64/($M$37-$B$14-'Amort Schedule - Investor'!G340)</f>
        <v>0.33357264629248973</v>
      </c>
      <c r="M64" s="60">
        <f t="shared" si="10"/>
        <v>191613.71226655733</v>
      </c>
    </row>
    <row r="65" spans="1:13" x14ac:dyDescent="0.2">
      <c r="A65" s="1">
        <f t="shared" si="5"/>
        <v>29</v>
      </c>
      <c r="B65" s="2">
        <f t="shared" si="6"/>
        <v>47041.549661503865</v>
      </c>
      <c r="C65" s="2">
        <f t="shared" si="7"/>
        <v>4698.7214974746757</v>
      </c>
      <c r="D65" s="2">
        <f t="shared" si="8"/>
        <v>14112.464898451159</v>
      </c>
      <c r="E65" s="2">
        <f>'Amort Schedule - Investor'!E352-'Amort Schedule - Investor'!E340+('Sale to Retail Investor'!$C$16*12)</f>
        <v>510.58213248173706</v>
      </c>
      <c r="F65" s="2">
        <v>0</v>
      </c>
      <c r="G65" s="2">
        <f t="shared" si="0"/>
        <v>32418.502630570969</v>
      </c>
      <c r="H65" s="2">
        <f t="shared" si="1"/>
        <v>6807.8855524199034</v>
      </c>
      <c r="I65" s="2">
        <f t="shared" si="2"/>
        <v>21422.477713158129</v>
      </c>
      <c r="J65" s="2">
        <f t="shared" si="3"/>
        <v>-4704.1549661503868</v>
      </c>
      <c r="K65" s="24">
        <f t="shared" si="4"/>
        <v>0.84481368343716989</v>
      </c>
      <c r="L65" s="24">
        <f>I65/($M$37-$B$14-'Amort Schedule - Investor'!G352)</f>
        <v>0.32712703039320606</v>
      </c>
      <c r="M65" s="60">
        <f t="shared" si="10"/>
        <v>198895.03333268652</v>
      </c>
    </row>
    <row r="66" spans="1:13" s="6" customFormat="1" x14ac:dyDescent="0.2">
      <c r="A66" s="1">
        <f t="shared" si="5"/>
        <v>30</v>
      </c>
      <c r="B66" s="2">
        <f t="shared" si="6"/>
        <v>49393.627144579063</v>
      </c>
      <c r="C66" s="2">
        <f t="shared" si="7"/>
        <v>4698.7214974746757</v>
      </c>
      <c r="D66" s="2">
        <f t="shared" si="8"/>
        <v>14818.088143373718</v>
      </c>
      <c r="E66" s="2">
        <f>'Amort Schedule - Investor'!E364-'Amort Schedule - Investor'!E352+('Sale to Retail Investor'!$C$16*12)</f>
        <v>185.4459892060695</v>
      </c>
      <c r="F66" s="2">
        <v>0</v>
      </c>
      <c r="G66" s="2">
        <f t="shared" si="0"/>
        <v>34390.093011999277</v>
      </c>
      <c r="H66" s="2">
        <f t="shared" si="1"/>
        <v>7221.919532519848</v>
      </c>
      <c r="I66" s="2">
        <f t="shared" si="2"/>
        <v>22654.897971210827</v>
      </c>
      <c r="J66" s="2">
        <f t="shared" si="3"/>
        <v>-4939.3627144579068</v>
      </c>
      <c r="K66" s="24">
        <f t="shared" si="4"/>
        <v>0.89520502868609642</v>
      </c>
      <c r="L66" s="24">
        <f>I66/($M$37-$B$14-'Amort Schedule - Investor'!G364)</f>
        <v>0.32364139958872612</v>
      </c>
      <c r="M66" s="60">
        <f t="shared" si="10"/>
        <v>206453.04459932863</v>
      </c>
    </row>
    <row r="67" spans="1:13" x14ac:dyDescent="0.2">
      <c r="A67" s="14" t="s">
        <v>180</v>
      </c>
      <c r="B67" s="5">
        <f t="shared" ref="B67:I67" si="11">SUM(B37:B66)</f>
        <v>797266.17003615934</v>
      </c>
      <c r="C67" s="5">
        <f t="shared" si="11"/>
        <v>140961.64492424027</v>
      </c>
      <c r="D67" s="5">
        <f t="shared" si="11"/>
        <v>239179.85101084784</v>
      </c>
      <c r="E67" s="5">
        <f t="shared" si="11"/>
        <v>84961.644924240361</v>
      </c>
      <c r="F67" s="5">
        <f t="shared" si="11"/>
        <v>52500.000000000015</v>
      </c>
      <c r="G67" s="5">
        <f t="shared" si="11"/>
        <v>420624.67410107126</v>
      </c>
      <c r="H67" s="61">
        <f t="shared" si="11"/>
        <v>88331.181561224977</v>
      </c>
      <c r="I67" s="5">
        <f t="shared" si="11"/>
        <v>328793.4925398464</v>
      </c>
      <c r="J67" s="5">
        <f t="shared" si="3"/>
        <v>-79726.617003615946</v>
      </c>
      <c r="K67" s="35">
        <f t="shared" si="4"/>
        <v>12.585897983193934</v>
      </c>
      <c r="L67" s="35">
        <f>I67/($M$37-$B$14-'Amort Schedule - Investor'!G364)</f>
        <v>4.6970498934263771</v>
      </c>
      <c r="M67" s="61">
        <f>M66</f>
        <v>206453.04459932863</v>
      </c>
    </row>
    <row r="68" spans="1:13" x14ac:dyDescent="0.2">
      <c r="H68" s="62" t="s">
        <v>181</v>
      </c>
      <c r="I68" s="2">
        <f>B32</f>
        <v>19789.360748737337</v>
      </c>
    </row>
    <row r="69" spans="1:13" x14ac:dyDescent="0.2">
      <c r="G69" s="3"/>
      <c r="H69" s="62" t="s">
        <v>182</v>
      </c>
      <c r="I69" s="2">
        <f>I67</f>
        <v>328793.4925398464</v>
      </c>
    </row>
    <row r="70" spans="1:13" x14ac:dyDescent="0.2">
      <c r="H70" s="62" t="s">
        <v>111</v>
      </c>
      <c r="I70" s="2">
        <f>I68</f>
        <v>19789.360748737337</v>
      </c>
    </row>
    <row r="71" spans="1:13" s="6" customFormat="1" x14ac:dyDescent="0.2">
      <c r="A71" s="1"/>
      <c r="B71" s="2"/>
      <c r="C71" s="2"/>
      <c r="D71" s="2"/>
      <c r="E71" s="2"/>
      <c r="F71" s="2"/>
      <c r="G71" s="2"/>
      <c r="H71" s="62" t="s">
        <v>183</v>
      </c>
      <c r="I71" s="66">
        <f>I69/I68</f>
        <v>16.614659599897642</v>
      </c>
      <c r="J71" s="24"/>
      <c r="K71" s="2"/>
      <c r="L71" s="25"/>
    </row>
    <row r="72" spans="1:13" x14ac:dyDescent="0.2">
      <c r="A72" s="14"/>
      <c r="B72" s="5"/>
      <c r="C72" s="5"/>
      <c r="D72" s="5"/>
      <c r="E72" s="6"/>
      <c r="F72" s="6"/>
      <c r="G72" s="38"/>
      <c r="H72" s="29" t="s">
        <v>184</v>
      </c>
      <c r="I72" s="38">
        <f>I71/30</f>
        <v>0.55382198666325477</v>
      </c>
      <c r="J72" s="35"/>
      <c r="K72" s="5"/>
      <c r="L72" s="53"/>
    </row>
  </sheetData>
  <printOptions gridLines="1"/>
  <pageMargins left="0.25" right="0.25" top="0.75" bottom="0.25" header="0.25" footer="0.25"/>
  <pageSetup scale="73" fitToHeight="2" orientation="landscape" r:id="rId1"/>
  <headerFooter alignWithMargins="0">
    <oddHeader>&amp;C&amp;"Tahoma,Bold"&amp;14&amp;F: &amp;A</oddHeader>
    <oddFooter>Page &amp;P of &amp;N</oddFooter>
  </headerFooter>
  <rowBreaks count="1" manualBreakCount="1">
    <brk id="34" max="12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Is there a 1st mortgage?" prompt="Select Yes or No" xr:uid="{5ABC5104-1D58-4252-A501-EE8CC65C35CF}">
          <x14:formula1>
            <xm:f>'Data Validation'!$A$1:$A$2</xm:f>
          </x14:formula1>
          <xm:sqref>C5</xm:sqref>
        </x14:dataValidation>
        <x14:dataValidation type="list" allowBlank="1" showInputMessage="1" showErrorMessage="1" promptTitle="Is there a 2nd mortgage?" prompt="Select Yes or No" xr:uid="{DF6217D3-BB3E-4459-83F1-70020B9C2F3F}">
          <x14:formula1>
            <xm:f>'Data Validation'!$A$1:$A$2</xm:f>
          </x14:formula1>
          <xm:sqref>C14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  <pageSetup scale="63" orientation="landscape" r:id="rId1"/>
  <headerFooter>
    <oddHeader>&amp;C&amp;"Tahoma,Bold"&amp;14&amp;F: &amp;A</oddHead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O366"/>
  <sheetViews>
    <sheetView workbookViewId="0">
      <pane ySplit="4" topLeftCell="A5" activePane="bottomLeft" state="frozen"/>
      <selection activeCell="K47" sqref="K47"/>
      <selection pane="bottomLeft" activeCell="J1" sqref="J1:O1048576"/>
    </sheetView>
  </sheetViews>
  <sheetFormatPr defaultRowHeight="12.75" x14ac:dyDescent="0.2"/>
  <cols>
    <col min="2" max="3" width="12.42578125" customWidth="1"/>
    <col min="4" max="4" width="13.7109375" customWidth="1"/>
    <col min="5" max="7" width="15.85546875" customWidth="1"/>
    <col min="8" max="8" width="11.28515625" style="11" customWidth="1"/>
    <col min="9" max="9" width="5" customWidth="1"/>
    <col min="10" max="10" width="12.140625" bestFit="1" customWidth="1"/>
    <col min="11" max="11" width="13.140625" bestFit="1" customWidth="1"/>
    <col min="12" max="13" width="12.140625" bestFit="1" customWidth="1"/>
    <col min="14" max="14" width="11" bestFit="1" customWidth="1"/>
    <col min="15" max="15" width="11.85546875" customWidth="1"/>
  </cols>
  <sheetData>
    <row r="1" spans="1:15" x14ac:dyDescent="0.2">
      <c r="C1" s="21" t="s">
        <v>192</v>
      </c>
      <c r="D1" s="22">
        <f>'Purchase &amp; Flip'!B7</f>
        <v>0</v>
      </c>
      <c r="E1" s="130">
        <v>0.04</v>
      </c>
      <c r="F1" s="129" t="s">
        <v>193</v>
      </c>
    </row>
    <row r="2" spans="1:15" x14ac:dyDescent="0.2">
      <c r="C2" s="21" t="s">
        <v>194</v>
      </c>
      <c r="D2" s="23">
        <f>'Purchase &amp; Flip'!B8</f>
        <v>0.1</v>
      </c>
      <c r="E2" s="124">
        <f>D2-E1</f>
        <v>6.0000000000000005E-2</v>
      </c>
      <c r="F2" t="s">
        <v>195</v>
      </c>
    </row>
    <row r="3" spans="1:15" x14ac:dyDescent="0.2">
      <c r="C3" s="21" t="s">
        <v>196</v>
      </c>
      <c r="D3" s="6">
        <f>'Purchase &amp; Flip'!B9*12</f>
        <v>360</v>
      </c>
    </row>
    <row r="4" spans="1:15" s="125" customFormat="1" ht="38.25" x14ac:dyDescent="0.2">
      <c r="A4" s="125" t="s">
        <v>197</v>
      </c>
      <c r="B4" s="125" t="s">
        <v>198</v>
      </c>
      <c r="C4" s="125" t="s">
        <v>199</v>
      </c>
      <c r="D4" s="125" t="s">
        <v>200</v>
      </c>
      <c r="E4" s="125" t="s">
        <v>201</v>
      </c>
      <c r="F4" s="125" t="s">
        <v>202</v>
      </c>
      <c r="G4" s="125" t="s">
        <v>203</v>
      </c>
      <c r="H4" s="126" t="s">
        <v>204</v>
      </c>
      <c r="J4" s="125" t="s">
        <v>106</v>
      </c>
      <c r="K4" s="125" t="s">
        <v>201</v>
      </c>
      <c r="L4" s="125" t="s">
        <v>205</v>
      </c>
      <c r="M4" s="125" t="s">
        <v>206</v>
      </c>
      <c r="N4" s="125" t="s">
        <v>207</v>
      </c>
      <c r="O4" s="125" t="s">
        <v>208</v>
      </c>
    </row>
    <row r="5" spans="1:15" x14ac:dyDescent="0.2">
      <c r="A5">
        <v>1</v>
      </c>
      <c r="B5" s="7">
        <f>-PMT($D$2/12,$D$3,$D$1)</f>
        <v>0</v>
      </c>
      <c r="C5" s="7">
        <f>-IPMT($D$2/12,A5,$D$3,$D$1)</f>
        <v>0</v>
      </c>
      <c r="D5" s="7">
        <f>-PPMT($D$2/12,A5,$D$3,$D$1)</f>
        <v>0</v>
      </c>
      <c r="E5" s="7">
        <f>C5</f>
        <v>0</v>
      </c>
      <c r="F5" s="7">
        <f>D5</f>
        <v>0</v>
      </c>
      <c r="G5" s="7">
        <f>$D$1-'Amort Schedule - Flip'!F5</f>
        <v>0</v>
      </c>
      <c r="H5" s="11" t="e">
        <f>G5/$D$1</f>
        <v>#DIV/0!</v>
      </c>
      <c r="J5" s="127">
        <f>D1*E2/12</f>
        <v>0</v>
      </c>
      <c r="K5" s="127">
        <f>J5</f>
        <v>0</v>
      </c>
      <c r="L5" s="7">
        <f>B5-J5</f>
        <v>0</v>
      </c>
      <c r="M5" s="7">
        <f>L5</f>
        <v>0</v>
      </c>
      <c r="N5" s="7">
        <f>C5-J5</f>
        <v>0</v>
      </c>
      <c r="O5" s="7">
        <f>N5</f>
        <v>0</v>
      </c>
    </row>
    <row r="6" spans="1:15" x14ac:dyDescent="0.2">
      <c r="A6">
        <f>A5+1</f>
        <v>2</v>
      </c>
      <c r="B6" s="7">
        <f>B5</f>
        <v>0</v>
      </c>
      <c r="C6" s="7">
        <f t="shared" ref="C6:C69" si="0">-IPMT($D$2/12,A6,$D$3,$D$1)</f>
        <v>0</v>
      </c>
      <c r="D6" s="7">
        <f t="shared" ref="D6:D69" si="1">-PPMT($D$2/12,A6,$D$3,$D$1)</f>
        <v>0</v>
      </c>
      <c r="E6" s="7">
        <f>SUM(C$5:C6)</f>
        <v>0</v>
      </c>
      <c r="F6" s="7">
        <f>SUM(D$5:D6)</f>
        <v>0</v>
      </c>
      <c r="G6" s="7">
        <f>$D$1-'Amort Schedule - Flip'!F6</f>
        <v>0</v>
      </c>
      <c r="H6" s="11" t="e">
        <f t="shared" ref="H6:H69" si="2">G6/$D$1</f>
        <v>#DIV/0!</v>
      </c>
      <c r="J6" s="127">
        <f>J5</f>
        <v>0</v>
      </c>
      <c r="K6" s="127">
        <f>J6+K5</f>
        <v>0</v>
      </c>
      <c r="L6" s="7">
        <f>B6-J6</f>
        <v>0</v>
      </c>
      <c r="M6" s="7">
        <f>M5+L6</f>
        <v>0</v>
      </c>
      <c r="N6" s="7">
        <f>C6-J6</f>
        <v>0</v>
      </c>
      <c r="O6" s="7">
        <f>O5+N6</f>
        <v>0</v>
      </c>
    </row>
    <row r="7" spans="1:15" x14ac:dyDescent="0.2">
      <c r="A7">
        <f t="shared" ref="A7:A70" si="3">A6+1</f>
        <v>3</v>
      </c>
      <c r="B7" s="7">
        <f t="shared" ref="B7:B70" si="4">B6</f>
        <v>0</v>
      </c>
      <c r="C7" s="7">
        <f t="shared" si="0"/>
        <v>0</v>
      </c>
      <c r="D7" s="7">
        <f t="shared" si="1"/>
        <v>0</v>
      </c>
      <c r="E7" s="7">
        <f>SUM(C$5:C7)</f>
        <v>0</v>
      </c>
      <c r="F7" s="7">
        <f>SUM(D$5:D7)</f>
        <v>0</v>
      </c>
      <c r="G7" s="7">
        <f>$D$1-'Amort Schedule - Flip'!F7</f>
        <v>0</v>
      </c>
      <c r="H7" s="11" t="e">
        <f t="shared" si="2"/>
        <v>#DIV/0!</v>
      </c>
      <c r="J7" s="127">
        <f t="shared" ref="J7:J70" si="5">J6</f>
        <v>0</v>
      </c>
      <c r="K7" s="127">
        <f t="shared" ref="K7:K70" si="6">J7+K6</f>
        <v>0</v>
      </c>
      <c r="L7" s="7">
        <f t="shared" ref="L7:L70" si="7">B7-J7</f>
        <v>0</v>
      </c>
      <c r="M7" s="7">
        <f t="shared" ref="M7:M70" si="8">M6+L7</f>
        <v>0</v>
      </c>
      <c r="N7" s="7">
        <f t="shared" ref="N7:N70" si="9">C7-J7</f>
        <v>0</v>
      </c>
      <c r="O7" s="7">
        <f t="shared" ref="O7:O70" si="10">O6+N7</f>
        <v>0</v>
      </c>
    </row>
    <row r="8" spans="1:15" x14ac:dyDescent="0.2">
      <c r="A8">
        <f t="shared" si="3"/>
        <v>4</v>
      </c>
      <c r="B8" s="7">
        <f t="shared" si="4"/>
        <v>0</v>
      </c>
      <c r="C8" s="7">
        <f t="shared" si="0"/>
        <v>0</v>
      </c>
      <c r="D8" s="7">
        <f t="shared" si="1"/>
        <v>0</v>
      </c>
      <c r="E8" s="7">
        <f>SUM(C$5:C8)</f>
        <v>0</v>
      </c>
      <c r="F8" s="7">
        <f>SUM(D$5:D8)</f>
        <v>0</v>
      </c>
      <c r="G8" s="7">
        <f>$D$1-'Amort Schedule - Flip'!F8</f>
        <v>0</v>
      </c>
      <c r="H8" s="11" t="e">
        <f t="shared" si="2"/>
        <v>#DIV/0!</v>
      </c>
      <c r="J8" s="127">
        <f t="shared" si="5"/>
        <v>0</v>
      </c>
      <c r="K8" s="127">
        <f t="shared" si="6"/>
        <v>0</v>
      </c>
      <c r="L8" s="7">
        <f t="shared" si="7"/>
        <v>0</v>
      </c>
      <c r="M8" s="7">
        <f t="shared" si="8"/>
        <v>0</v>
      </c>
      <c r="N8" s="7">
        <f t="shared" si="9"/>
        <v>0</v>
      </c>
      <c r="O8" s="7">
        <f t="shared" si="10"/>
        <v>0</v>
      </c>
    </row>
    <row r="9" spans="1:15" x14ac:dyDescent="0.2">
      <c r="A9">
        <f t="shared" si="3"/>
        <v>5</v>
      </c>
      <c r="B9" s="7">
        <f t="shared" si="4"/>
        <v>0</v>
      </c>
      <c r="C9" s="7">
        <f t="shared" si="0"/>
        <v>0</v>
      </c>
      <c r="D9" s="7">
        <f t="shared" si="1"/>
        <v>0</v>
      </c>
      <c r="E9" s="7">
        <f>SUM(C$5:C9)</f>
        <v>0</v>
      </c>
      <c r="F9" s="7">
        <f>SUM(D$5:D9)</f>
        <v>0</v>
      </c>
      <c r="G9" s="7">
        <f>$D$1-'Amort Schedule - Flip'!F9</f>
        <v>0</v>
      </c>
      <c r="H9" s="11" t="e">
        <f t="shared" si="2"/>
        <v>#DIV/0!</v>
      </c>
      <c r="J9" s="127">
        <f t="shared" si="5"/>
        <v>0</v>
      </c>
      <c r="K9" s="127">
        <f t="shared" si="6"/>
        <v>0</v>
      </c>
      <c r="L9" s="7">
        <f t="shared" si="7"/>
        <v>0</v>
      </c>
      <c r="M9" s="7">
        <f t="shared" si="8"/>
        <v>0</v>
      </c>
      <c r="N9" s="7">
        <f t="shared" si="9"/>
        <v>0</v>
      </c>
      <c r="O9" s="7">
        <f t="shared" si="10"/>
        <v>0</v>
      </c>
    </row>
    <row r="10" spans="1:15" x14ac:dyDescent="0.2">
      <c r="A10">
        <f t="shared" si="3"/>
        <v>6</v>
      </c>
      <c r="B10" s="7">
        <f t="shared" si="4"/>
        <v>0</v>
      </c>
      <c r="C10" s="7">
        <f t="shared" si="0"/>
        <v>0</v>
      </c>
      <c r="D10" s="7">
        <f t="shared" si="1"/>
        <v>0</v>
      </c>
      <c r="E10" s="7">
        <f>SUM(C$5:C10)</f>
        <v>0</v>
      </c>
      <c r="F10" s="7">
        <f>SUM(D$5:D10)</f>
        <v>0</v>
      </c>
      <c r="G10" s="7">
        <f>$D$1-'Amort Schedule - Flip'!F10</f>
        <v>0</v>
      </c>
      <c r="H10" s="11" t="e">
        <f t="shared" si="2"/>
        <v>#DIV/0!</v>
      </c>
      <c r="J10" s="127">
        <f t="shared" si="5"/>
        <v>0</v>
      </c>
      <c r="K10" s="127">
        <f t="shared" si="6"/>
        <v>0</v>
      </c>
      <c r="L10" s="7">
        <f t="shared" si="7"/>
        <v>0</v>
      </c>
      <c r="M10" s="7">
        <f t="shared" si="8"/>
        <v>0</v>
      </c>
      <c r="N10" s="7">
        <f t="shared" si="9"/>
        <v>0</v>
      </c>
      <c r="O10" s="7">
        <f t="shared" si="10"/>
        <v>0</v>
      </c>
    </row>
    <row r="11" spans="1:15" x14ac:dyDescent="0.2">
      <c r="A11">
        <f t="shared" si="3"/>
        <v>7</v>
      </c>
      <c r="B11" s="7">
        <f t="shared" si="4"/>
        <v>0</v>
      </c>
      <c r="C11" s="7">
        <f t="shared" si="0"/>
        <v>0</v>
      </c>
      <c r="D11" s="7">
        <f t="shared" si="1"/>
        <v>0</v>
      </c>
      <c r="E11" s="7">
        <f>SUM(C$5:C11)</f>
        <v>0</v>
      </c>
      <c r="F11" s="7">
        <f>SUM(D$5:D11)</f>
        <v>0</v>
      </c>
      <c r="G11" s="7">
        <f>$D$1-'Amort Schedule - Flip'!F11</f>
        <v>0</v>
      </c>
      <c r="H11" s="11" t="e">
        <f t="shared" si="2"/>
        <v>#DIV/0!</v>
      </c>
      <c r="J11" s="127">
        <f t="shared" si="5"/>
        <v>0</v>
      </c>
      <c r="K11" s="127">
        <f t="shared" si="6"/>
        <v>0</v>
      </c>
      <c r="L11" s="7">
        <f t="shared" si="7"/>
        <v>0</v>
      </c>
      <c r="M11" s="7">
        <f t="shared" si="8"/>
        <v>0</v>
      </c>
      <c r="N11" s="7">
        <f t="shared" si="9"/>
        <v>0</v>
      </c>
      <c r="O11" s="7">
        <f t="shared" si="10"/>
        <v>0</v>
      </c>
    </row>
    <row r="12" spans="1:15" x14ac:dyDescent="0.2">
      <c r="A12">
        <f t="shared" si="3"/>
        <v>8</v>
      </c>
      <c r="B12" s="7">
        <f t="shared" si="4"/>
        <v>0</v>
      </c>
      <c r="C12" s="7">
        <f t="shared" si="0"/>
        <v>0</v>
      </c>
      <c r="D12" s="7">
        <f t="shared" si="1"/>
        <v>0</v>
      </c>
      <c r="E12" s="7">
        <f>SUM(C$5:C12)</f>
        <v>0</v>
      </c>
      <c r="F12" s="7">
        <f>SUM(D$5:D12)</f>
        <v>0</v>
      </c>
      <c r="G12" s="7">
        <f>$D$1-'Amort Schedule - Flip'!F12</f>
        <v>0</v>
      </c>
      <c r="H12" s="11" t="e">
        <f t="shared" si="2"/>
        <v>#DIV/0!</v>
      </c>
      <c r="J12" s="127">
        <f t="shared" si="5"/>
        <v>0</v>
      </c>
      <c r="K12" s="127">
        <f t="shared" si="6"/>
        <v>0</v>
      </c>
      <c r="L12" s="7">
        <f t="shared" si="7"/>
        <v>0</v>
      </c>
      <c r="M12" s="7">
        <f t="shared" si="8"/>
        <v>0</v>
      </c>
      <c r="N12" s="7">
        <f t="shared" si="9"/>
        <v>0</v>
      </c>
      <c r="O12" s="7">
        <f t="shared" si="10"/>
        <v>0</v>
      </c>
    </row>
    <row r="13" spans="1:15" x14ac:dyDescent="0.2">
      <c r="A13">
        <f t="shared" si="3"/>
        <v>9</v>
      </c>
      <c r="B13" s="7">
        <f t="shared" si="4"/>
        <v>0</v>
      </c>
      <c r="C13" s="7">
        <f t="shared" si="0"/>
        <v>0</v>
      </c>
      <c r="D13" s="7">
        <f t="shared" si="1"/>
        <v>0</v>
      </c>
      <c r="E13" s="7">
        <f>SUM(C$5:C13)</f>
        <v>0</v>
      </c>
      <c r="F13" s="7">
        <f>SUM(D$5:D13)</f>
        <v>0</v>
      </c>
      <c r="G13" s="7">
        <f>$D$1-'Amort Schedule - Flip'!F13</f>
        <v>0</v>
      </c>
      <c r="H13" s="11" t="e">
        <f t="shared" si="2"/>
        <v>#DIV/0!</v>
      </c>
      <c r="J13" s="127">
        <f t="shared" si="5"/>
        <v>0</v>
      </c>
      <c r="K13" s="127">
        <f t="shared" si="6"/>
        <v>0</v>
      </c>
      <c r="L13" s="7">
        <f t="shared" si="7"/>
        <v>0</v>
      </c>
      <c r="M13" s="7">
        <f t="shared" si="8"/>
        <v>0</v>
      </c>
      <c r="N13" s="7">
        <f t="shared" si="9"/>
        <v>0</v>
      </c>
      <c r="O13" s="7">
        <f t="shared" si="10"/>
        <v>0</v>
      </c>
    </row>
    <row r="14" spans="1:15" x14ac:dyDescent="0.2">
      <c r="A14">
        <f t="shared" si="3"/>
        <v>10</v>
      </c>
      <c r="B14" s="7">
        <f t="shared" si="4"/>
        <v>0</v>
      </c>
      <c r="C14" s="7">
        <f t="shared" si="0"/>
        <v>0</v>
      </c>
      <c r="D14" s="7">
        <f t="shared" si="1"/>
        <v>0</v>
      </c>
      <c r="E14" s="7">
        <f>SUM(C$5:C14)</f>
        <v>0</v>
      </c>
      <c r="F14" s="7">
        <f>SUM(D$5:D14)</f>
        <v>0</v>
      </c>
      <c r="G14" s="7">
        <f>$D$1-'Amort Schedule - Flip'!F14</f>
        <v>0</v>
      </c>
      <c r="H14" s="11" t="e">
        <f t="shared" si="2"/>
        <v>#DIV/0!</v>
      </c>
      <c r="J14" s="127">
        <f t="shared" si="5"/>
        <v>0</v>
      </c>
      <c r="K14" s="127">
        <f t="shared" si="6"/>
        <v>0</v>
      </c>
      <c r="L14" s="7">
        <f t="shared" si="7"/>
        <v>0</v>
      </c>
      <c r="M14" s="7">
        <f t="shared" si="8"/>
        <v>0</v>
      </c>
      <c r="N14" s="7">
        <f t="shared" si="9"/>
        <v>0</v>
      </c>
      <c r="O14" s="7">
        <f t="shared" si="10"/>
        <v>0</v>
      </c>
    </row>
    <row r="15" spans="1:15" x14ac:dyDescent="0.2">
      <c r="A15">
        <f t="shared" si="3"/>
        <v>11</v>
      </c>
      <c r="B15" s="7">
        <f t="shared" si="4"/>
        <v>0</v>
      </c>
      <c r="C15" s="7">
        <f t="shared" si="0"/>
        <v>0</v>
      </c>
      <c r="D15" s="7">
        <f t="shared" si="1"/>
        <v>0</v>
      </c>
      <c r="E15" s="7">
        <f>SUM(C$5:C15)</f>
        <v>0</v>
      </c>
      <c r="F15" s="7">
        <f>SUM(D$5:D15)</f>
        <v>0</v>
      </c>
      <c r="G15" s="7">
        <f>$D$1-'Amort Schedule - Flip'!F15</f>
        <v>0</v>
      </c>
      <c r="H15" s="11" t="e">
        <f t="shared" si="2"/>
        <v>#DIV/0!</v>
      </c>
      <c r="J15" s="127">
        <f t="shared" si="5"/>
        <v>0</v>
      </c>
      <c r="K15" s="127">
        <f t="shared" si="6"/>
        <v>0</v>
      </c>
      <c r="L15" s="7">
        <f t="shared" si="7"/>
        <v>0</v>
      </c>
      <c r="M15" s="7">
        <f t="shared" si="8"/>
        <v>0</v>
      </c>
      <c r="N15" s="7">
        <f t="shared" si="9"/>
        <v>0</v>
      </c>
      <c r="O15" s="7">
        <f t="shared" si="10"/>
        <v>0</v>
      </c>
    </row>
    <row r="16" spans="1:15" s="6" customFormat="1" x14ac:dyDescent="0.2">
      <c r="A16" s="6">
        <f t="shared" si="3"/>
        <v>12</v>
      </c>
      <c r="B16" s="128">
        <f t="shared" si="4"/>
        <v>0</v>
      </c>
      <c r="C16" s="128">
        <f t="shared" si="0"/>
        <v>0</v>
      </c>
      <c r="D16" s="128">
        <f t="shared" si="1"/>
        <v>0</v>
      </c>
      <c r="E16" s="128">
        <f>SUM(C$5:C16)</f>
        <v>0</v>
      </c>
      <c r="F16" s="128">
        <f>SUM(D$5:D16)</f>
        <v>0</v>
      </c>
      <c r="G16" s="128">
        <f>$D$1-'Amort Schedule - Flip'!F16</f>
        <v>0</v>
      </c>
      <c r="H16" s="124" t="e">
        <f t="shared" si="2"/>
        <v>#DIV/0!</v>
      </c>
      <c r="J16" s="131">
        <f t="shared" si="5"/>
        <v>0</v>
      </c>
      <c r="K16" s="131">
        <f t="shared" si="6"/>
        <v>0</v>
      </c>
      <c r="L16" s="128">
        <f t="shared" si="7"/>
        <v>0</v>
      </c>
      <c r="M16" s="128">
        <f t="shared" si="8"/>
        <v>0</v>
      </c>
      <c r="N16" s="128">
        <f t="shared" si="9"/>
        <v>0</v>
      </c>
      <c r="O16" s="128">
        <f t="shared" si="10"/>
        <v>0</v>
      </c>
    </row>
    <row r="17" spans="1:15" x14ac:dyDescent="0.2">
      <c r="A17">
        <f t="shared" si="3"/>
        <v>13</v>
      </c>
      <c r="B17" s="7">
        <f t="shared" si="4"/>
        <v>0</v>
      </c>
      <c r="C17" s="7">
        <f t="shared" si="0"/>
        <v>0</v>
      </c>
      <c r="D17" s="7">
        <f t="shared" si="1"/>
        <v>0</v>
      </c>
      <c r="E17" s="7">
        <f>SUM(C$5:C17)</f>
        <v>0</v>
      </c>
      <c r="F17" s="7">
        <f>SUM(D$5:D17)</f>
        <v>0</v>
      </c>
      <c r="G17" s="7">
        <f>$D$1-'Amort Schedule - Flip'!F17</f>
        <v>0</v>
      </c>
      <c r="H17" s="11" t="e">
        <f t="shared" si="2"/>
        <v>#DIV/0!</v>
      </c>
      <c r="J17" s="127">
        <f t="shared" si="5"/>
        <v>0</v>
      </c>
      <c r="K17" s="127">
        <f t="shared" si="6"/>
        <v>0</v>
      </c>
      <c r="L17" s="7">
        <f t="shared" si="7"/>
        <v>0</v>
      </c>
      <c r="M17" s="7">
        <f t="shared" si="8"/>
        <v>0</v>
      </c>
      <c r="N17" s="7">
        <f t="shared" si="9"/>
        <v>0</v>
      </c>
      <c r="O17" s="7">
        <f t="shared" si="10"/>
        <v>0</v>
      </c>
    </row>
    <row r="18" spans="1:15" x14ac:dyDescent="0.2">
      <c r="A18">
        <f t="shared" si="3"/>
        <v>14</v>
      </c>
      <c r="B18" s="7">
        <f t="shared" si="4"/>
        <v>0</v>
      </c>
      <c r="C18" s="7">
        <f t="shared" si="0"/>
        <v>0</v>
      </c>
      <c r="D18" s="7">
        <f t="shared" si="1"/>
        <v>0</v>
      </c>
      <c r="E18" s="7">
        <f>SUM(C$5:C18)</f>
        <v>0</v>
      </c>
      <c r="F18" s="7">
        <f>SUM(D$5:D18)</f>
        <v>0</v>
      </c>
      <c r="G18" s="7">
        <f>$D$1-'Amort Schedule - Flip'!F18</f>
        <v>0</v>
      </c>
      <c r="H18" s="11" t="e">
        <f t="shared" si="2"/>
        <v>#DIV/0!</v>
      </c>
      <c r="J18" s="127">
        <f t="shared" si="5"/>
        <v>0</v>
      </c>
      <c r="K18" s="127">
        <f t="shared" si="6"/>
        <v>0</v>
      </c>
      <c r="L18" s="7">
        <f t="shared" si="7"/>
        <v>0</v>
      </c>
      <c r="M18" s="7">
        <f t="shared" si="8"/>
        <v>0</v>
      </c>
      <c r="N18" s="7">
        <f t="shared" si="9"/>
        <v>0</v>
      </c>
      <c r="O18" s="7">
        <f t="shared" si="10"/>
        <v>0</v>
      </c>
    </row>
    <row r="19" spans="1:15" x14ac:dyDescent="0.2">
      <c r="A19">
        <f t="shared" si="3"/>
        <v>15</v>
      </c>
      <c r="B19" s="7">
        <f t="shared" si="4"/>
        <v>0</v>
      </c>
      <c r="C19" s="7">
        <f t="shared" si="0"/>
        <v>0</v>
      </c>
      <c r="D19" s="7">
        <f t="shared" si="1"/>
        <v>0</v>
      </c>
      <c r="E19" s="7">
        <f>SUM(C$5:C19)</f>
        <v>0</v>
      </c>
      <c r="F19" s="7">
        <f>SUM(D$5:D19)</f>
        <v>0</v>
      </c>
      <c r="G19" s="7">
        <f>$D$1-'Amort Schedule - Flip'!F19</f>
        <v>0</v>
      </c>
      <c r="H19" s="11" t="e">
        <f t="shared" si="2"/>
        <v>#DIV/0!</v>
      </c>
      <c r="J19" s="127">
        <f t="shared" si="5"/>
        <v>0</v>
      </c>
      <c r="K19" s="127">
        <f t="shared" si="6"/>
        <v>0</v>
      </c>
      <c r="L19" s="7">
        <f t="shared" si="7"/>
        <v>0</v>
      </c>
      <c r="M19" s="7">
        <f t="shared" si="8"/>
        <v>0</v>
      </c>
      <c r="N19" s="7">
        <f t="shared" si="9"/>
        <v>0</v>
      </c>
      <c r="O19" s="7">
        <f t="shared" si="10"/>
        <v>0</v>
      </c>
    </row>
    <row r="20" spans="1:15" x14ac:dyDescent="0.2">
      <c r="A20">
        <f t="shared" si="3"/>
        <v>16</v>
      </c>
      <c r="B20" s="7">
        <f t="shared" si="4"/>
        <v>0</v>
      </c>
      <c r="C20" s="7">
        <f t="shared" si="0"/>
        <v>0</v>
      </c>
      <c r="D20" s="7">
        <f t="shared" si="1"/>
        <v>0</v>
      </c>
      <c r="E20" s="7">
        <f>SUM(C$5:C20)</f>
        <v>0</v>
      </c>
      <c r="F20" s="7">
        <f>SUM(D$5:D20)</f>
        <v>0</v>
      </c>
      <c r="G20" s="7">
        <f>$D$1-'Amort Schedule - Flip'!F20</f>
        <v>0</v>
      </c>
      <c r="H20" s="11" t="e">
        <f t="shared" si="2"/>
        <v>#DIV/0!</v>
      </c>
      <c r="J20" s="127">
        <f t="shared" si="5"/>
        <v>0</v>
      </c>
      <c r="K20" s="127">
        <f t="shared" si="6"/>
        <v>0</v>
      </c>
      <c r="L20" s="7">
        <f t="shared" si="7"/>
        <v>0</v>
      </c>
      <c r="M20" s="7">
        <f t="shared" si="8"/>
        <v>0</v>
      </c>
      <c r="N20" s="7">
        <f t="shared" si="9"/>
        <v>0</v>
      </c>
      <c r="O20" s="7">
        <f t="shared" si="10"/>
        <v>0</v>
      </c>
    </row>
    <row r="21" spans="1:15" x14ac:dyDescent="0.2">
      <c r="A21">
        <f t="shared" si="3"/>
        <v>17</v>
      </c>
      <c r="B21" s="7">
        <f t="shared" si="4"/>
        <v>0</v>
      </c>
      <c r="C21" s="7">
        <f t="shared" si="0"/>
        <v>0</v>
      </c>
      <c r="D21" s="7">
        <f t="shared" si="1"/>
        <v>0</v>
      </c>
      <c r="E21" s="7">
        <f>SUM(C$5:C21)</f>
        <v>0</v>
      </c>
      <c r="F21" s="7">
        <f>SUM(D$5:D21)</f>
        <v>0</v>
      </c>
      <c r="G21" s="7">
        <f>$D$1-'Amort Schedule - Flip'!F21</f>
        <v>0</v>
      </c>
      <c r="H21" s="11" t="e">
        <f t="shared" si="2"/>
        <v>#DIV/0!</v>
      </c>
      <c r="J21" s="127">
        <f t="shared" si="5"/>
        <v>0</v>
      </c>
      <c r="K21" s="127">
        <f t="shared" si="6"/>
        <v>0</v>
      </c>
      <c r="L21" s="7">
        <f t="shared" si="7"/>
        <v>0</v>
      </c>
      <c r="M21" s="7">
        <f t="shared" si="8"/>
        <v>0</v>
      </c>
      <c r="N21" s="7">
        <f t="shared" si="9"/>
        <v>0</v>
      </c>
      <c r="O21" s="7">
        <f t="shared" si="10"/>
        <v>0</v>
      </c>
    </row>
    <row r="22" spans="1:15" x14ac:dyDescent="0.2">
      <c r="A22">
        <f t="shared" si="3"/>
        <v>18</v>
      </c>
      <c r="B22" s="7">
        <f t="shared" si="4"/>
        <v>0</v>
      </c>
      <c r="C22" s="7">
        <f t="shared" si="0"/>
        <v>0</v>
      </c>
      <c r="D22" s="7">
        <f t="shared" si="1"/>
        <v>0</v>
      </c>
      <c r="E22" s="7">
        <f>SUM(C$5:C22)</f>
        <v>0</v>
      </c>
      <c r="F22" s="7">
        <f>SUM(D$5:D22)</f>
        <v>0</v>
      </c>
      <c r="G22" s="7">
        <f>$D$1-'Amort Schedule - Flip'!F22</f>
        <v>0</v>
      </c>
      <c r="H22" s="11" t="e">
        <f t="shared" si="2"/>
        <v>#DIV/0!</v>
      </c>
      <c r="J22" s="127">
        <f t="shared" si="5"/>
        <v>0</v>
      </c>
      <c r="K22" s="127">
        <f t="shared" si="6"/>
        <v>0</v>
      </c>
      <c r="L22" s="7">
        <f t="shared" si="7"/>
        <v>0</v>
      </c>
      <c r="M22" s="7">
        <f t="shared" si="8"/>
        <v>0</v>
      </c>
      <c r="N22" s="7">
        <f t="shared" si="9"/>
        <v>0</v>
      </c>
      <c r="O22" s="7">
        <f t="shared" si="10"/>
        <v>0</v>
      </c>
    </row>
    <row r="23" spans="1:15" x14ac:dyDescent="0.2">
      <c r="A23">
        <f t="shared" si="3"/>
        <v>19</v>
      </c>
      <c r="B23" s="7">
        <f t="shared" si="4"/>
        <v>0</v>
      </c>
      <c r="C23" s="7">
        <f t="shared" si="0"/>
        <v>0</v>
      </c>
      <c r="D23" s="7">
        <f t="shared" si="1"/>
        <v>0</v>
      </c>
      <c r="E23" s="7">
        <f>SUM(C$5:C23)</f>
        <v>0</v>
      </c>
      <c r="F23" s="7">
        <f>SUM(D$5:D23)</f>
        <v>0</v>
      </c>
      <c r="G23" s="7">
        <f>$D$1-'Amort Schedule - Flip'!F23</f>
        <v>0</v>
      </c>
      <c r="H23" s="11" t="e">
        <f t="shared" si="2"/>
        <v>#DIV/0!</v>
      </c>
      <c r="J23" s="127">
        <f t="shared" si="5"/>
        <v>0</v>
      </c>
      <c r="K23" s="127">
        <f t="shared" si="6"/>
        <v>0</v>
      </c>
      <c r="L23" s="7">
        <f t="shared" si="7"/>
        <v>0</v>
      </c>
      <c r="M23" s="7">
        <f t="shared" si="8"/>
        <v>0</v>
      </c>
      <c r="N23" s="7">
        <f t="shared" si="9"/>
        <v>0</v>
      </c>
      <c r="O23" s="7">
        <f t="shared" si="10"/>
        <v>0</v>
      </c>
    </row>
    <row r="24" spans="1:15" x14ac:dyDescent="0.2">
      <c r="A24">
        <f t="shared" si="3"/>
        <v>20</v>
      </c>
      <c r="B24" s="7">
        <f t="shared" si="4"/>
        <v>0</v>
      </c>
      <c r="C24" s="7">
        <f t="shared" si="0"/>
        <v>0</v>
      </c>
      <c r="D24" s="7">
        <f t="shared" si="1"/>
        <v>0</v>
      </c>
      <c r="E24" s="7">
        <f>SUM(C$5:C24)</f>
        <v>0</v>
      </c>
      <c r="F24" s="7">
        <f>SUM(D$5:D24)</f>
        <v>0</v>
      </c>
      <c r="G24" s="7">
        <f>$D$1-'Amort Schedule - Flip'!F24</f>
        <v>0</v>
      </c>
      <c r="H24" s="11" t="e">
        <f t="shared" si="2"/>
        <v>#DIV/0!</v>
      </c>
      <c r="J24" s="127">
        <f t="shared" si="5"/>
        <v>0</v>
      </c>
      <c r="K24" s="127">
        <f t="shared" si="6"/>
        <v>0</v>
      </c>
      <c r="L24" s="7">
        <f t="shared" si="7"/>
        <v>0</v>
      </c>
      <c r="M24" s="7">
        <f t="shared" si="8"/>
        <v>0</v>
      </c>
      <c r="N24" s="7">
        <f t="shared" si="9"/>
        <v>0</v>
      </c>
      <c r="O24" s="7">
        <f t="shared" si="10"/>
        <v>0</v>
      </c>
    </row>
    <row r="25" spans="1:15" x14ac:dyDescent="0.2">
      <c r="A25">
        <f t="shared" si="3"/>
        <v>21</v>
      </c>
      <c r="B25" s="7">
        <f t="shared" si="4"/>
        <v>0</v>
      </c>
      <c r="C25" s="7">
        <f t="shared" si="0"/>
        <v>0</v>
      </c>
      <c r="D25" s="7">
        <f t="shared" si="1"/>
        <v>0</v>
      </c>
      <c r="E25" s="7">
        <f>SUM(C$5:C25)</f>
        <v>0</v>
      </c>
      <c r="F25" s="7">
        <f>SUM(D$5:D25)</f>
        <v>0</v>
      </c>
      <c r="G25" s="7">
        <f>$D$1-'Amort Schedule - Flip'!F25</f>
        <v>0</v>
      </c>
      <c r="H25" s="11" t="e">
        <f t="shared" si="2"/>
        <v>#DIV/0!</v>
      </c>
      <c r="J25" s="127">
        <f t="shared" si="5"/>
        <v>0</v>
      </c>
      <c r="K25" s="127">
        <f t="shared" si="6"/>
        <v>0</v>
      </c>
      <c r="L25" s="7">
        <f t="shared" si="7"/>
        <v>0</v>
      </c>
      <c r="M25" s="7">
        <f t="shared" si="8"/>
        <v>0</v>
      </c>
      <c r="N25" s="7">
        <f t="shared" si="9"/>
        <v>0</v>
      </c>
      <c r="O25" s="7">
        <f t="shared" si="10"/>
        <v>0</v>
      </c>
    </row>
    <row r="26" spans="1:15" x14ac:dyDescent="0.2">
      <c r="A26">
        <f t="shared" si="3"/>
        <v>22</v>
      </c>
      <c r="B26" s="7">
        <f t="shared" si="4"/>
        <v>0</v>
      </c>
      <c r="C26" s="7">
        <f t="shared" si="0"/>
        <v>0</v>
      </c>
      <c r="D26" s="7">
        <f t="shared" si="1"/>
        <v>0</v>
      </c>
      <c r="E26" s="7">
        <f>SUM(C$5:C26)</f>
        <v>0</v>
      </c>
      <c r="F26" s="7">
        <f>SUM(D$5:D26)</f>
        <v>0</v>
      </c>
      <c r="G26" s="7">
        <f>$D$1-'Amort Schedule - Flip'!F26</f>
        <v>0</v>
      </c>
      <c r="H26" s="11" t="e">
        <f t="shared" si="2"/>
        <v>#DIV/0!</v>
      </c>
      <c r="J26" s="127">
        <f t="shared" si="5"/>
        <v>0</v>
      </c>
      <c r="K26" s="127">
        <f t="shared" si="6"/>
        <v>0</v>
      </c>
      <c r="L26" s="7">
        <f t="shared" si="7"/>
        <v>0</v>
      </c>
      <c r="M26" s="7">
        <f t="shared" si="8"/>
        <v>0</v>
      </c>
      <c r="N26" s="7">
        <f t="shared" si="9"/>
        <v>0</v>
      </c>
      <c r="O26" s="7">
        <f t="shared" si="10"/>
        <v>0</v>
      </c>
    </row>
    <row r="27" spans="1:15" x14ac:dyDescent="0.2">
      <c r="A27">
        <f t="shared" si="3"/>
        <v>23</v>
      </c>
      <c r="B27" s="7">
        <f t="shared" si="4"/>
        <v>0</v>
      </c>
      <c r="C27" s="7">
        <f t="shared" si="0"/>
        <v>0</v>
      </c>
      <c r="D27" s="7">
        <f t="shared" si="1"/>
        <v>0</v>
      </c>
      <c r="E27" s="7">
        <f>SUM(C$5:C27)</f>
        <v>0</v>
      </c>
      <c r="F27" s="7">
        <f>SUM(D$5:D27)</f>
        <v>0</v>
      </c>
      <c r="G27" s="7">
        <f>$D$1-'Amort Schedule - Flip'!F27</f>
        <v>0</v>
      </c>
      <c r="H27" s="11" t="e">
        <f t="shared" si="2"/>
        <v>#DIV/0!</v>
      </c>
      <c r="J27" s="127">
        <f t="shared" si="5"/>
        <v>0</v>
      </c>
      <c r="K27" s="127">
        <f t="shared" si="6"/>
        <v>0</v>
      </c>
      <c r="L27" s="7">
        <f t="shared" si="7"/>
        <v>0</v>
      </c>
      <c r="M27" s="7">
        <f t="shared" si="8"/>
        <v>0</v>
      </c>
      <c r="N27" s="7">
        <f t="shared" si="9"/>
        <v>0</v>
      </c>
      <c r="O27" s="7">
        <f t="shared" si="10"/>
        <v>0</v>
      </c>
    </row>
    <row r="28" spans="1:15" s="6" customFormat="1" x14ac:dyDescent="0.2">
      <c r="A28" s="6">
        <f t="shared" si="3"/>
        <v>24</v>
      </c>
      <c r="B28" s="128">
        <f t="shared" si="4"/>
        <v>0</v>
      </c>
      <c r="C28" s="128">
        <f t="shared" si="0"/>
        <v>0</v>
      </c>
      <c r="D28" s="128">
        <f t="shared" si="1"/>
        <v>0</v>
      </c>
      <c r="E28" s="128">
        <f>SUM(C$5:C28)</f>
        <v>0</v>
      </c>
      <c r="F28" s="128">
        <f>SUM(D$5:D28)</f>
        <v>0</v>
      </c>
      <c r="G28" s="128">
        <f>$D$1-'Amort Schedule - Flip'!F28</f>
        <v>0</v>
      </c>
      <c r="H28" s="124" t="e">
        <f t="shared" si="2"/>
        <v>#DIV/0!</v>
      </c>
      <c r="J28" s="131">
        <f t="shared" si="5"/>
        <v>0</v>
      </c>
      <c r="K28" s="131">
        <f t="shared" si="6"/>
        <v>0</v>
      </c>
      <c r="L28" s="128">
        <f t="shared" si="7"/>
        <v>0</v>
      </c>
      <c r="M28" s="128">
        <f t="shared" si="8"/>
        <v>0</v>
      </c>
      <c r="N28" s="128">
        <f t="shared" si="9"/>
        <v>0</v>
      </c>
      <c r="O28" s="128">
        <f t="shared" si="10"/>
        <v>0</v>
      </c>
    </row>
    <row r="29" spans="1:15" x14ac:dyDescent="0.2">
      <c r="A29">
        <f t="shared" si="3"/>
        <v>25</v>
      </c>
      <c r="B29" s="7">
        <f t="shared" si="4"/>
        <v>0</v>
      </c>
      <c r="C29" s="7">
        <f t="shared" si="0"/>
        <v>0</v>
      </c>
      <c r="D29" s="7">
        <f t="shared" si="1"/>
        <v>0</v>
      </c>
      <c r="E29" s="7">
        <f>SUM(C$5:C29)</f>
        <v>0</v>
      </c>
      <c r="F29" s="7">
        <f>SUM(D$5:D29)</f>
        <v>0</v>
      </c>
      <c r="G29" s="7">
        <f>$D$1-'Amort Schedule - Flip'!F29</f>
        <v>0</v>
      </c>
      <c r="H29" s="11" t="e">
        <f t="shared" si="2"/>
        <v>#DIV/0!</v>
      </c>
      <c r="J29" s="127">
        <f t="shared" si="5"/>
        <v>0</v>
      </c>
      <c r="K29" s="127">
        <f t="shared" si="6"/>
        <v>0</v>
      </c>
      <c r="L29" s="7">
        <f t="shared" si="7"/>
        <v>0</v>
      </c>
      <c r="M29" s="7">
        <f t="shared" si="8"/>
        <v>0</v>
      </c>
      <c r="N29" s="7">
        <f t="shared" si="9"/>
        <v>0</v>
      </c>
      <c r="O29" s="7">
        <f t="shared" si="10"/>
        <v>0</v>
      </c>
    </row>
    <row r="30" spans="1:15" x14ac:dyDescent="0.2">
      <c r="A30">
        <f t="shared" si="3"/>
        <v>26</v>
      </c>
      <c r="B30" s="7">
        <f t="shared" si="4"/>
        <v>0</v>
      </c>
      <c r="C30" s="7">
        <f t="shared" si="0"/>
        <v>0</v>
      </c>
      <c r="D30" s="7">
        <f t="shared" si="1"/>
        <v>0</v>
      </c>
      <c r="E30" s="7">
        <f>SUM(C$5:C30)</f>
        <v>0</v>
      </c>
      <c r="F30" s="7">
        <f>SUM(D$5:D30)</f>
        <v>0</v>
      </c>
      <c r="G30" s="7">
        <f>$D$1-'Amort Schedule - Flip'!F30</f>
        <v>0</v>
      </c>
      <c r="H30" s="11" t="e">
        <f t="shared" si="2"/>
        <v>#DIV/0!</v>
      </c>
      <c r="J30" s="127">
        <f t="shared" si="5"/>
        <v>0</v>
      </c>
      <c r="K30" s="127">
        <f t="shared" si="6"/>
        <v>0</v>
      </c>
      <c r="L30" s="7">
        <f t="shared" si="7"/>
        <v>0</v>
      </c>
      <c r="M30" s="7">
        <f t="shared" si="8"/>
        <v>0</v>
      </c>
      <c r="N30" s="7">
        <f t="shared" si="9"/>
        <v>0</v>
      </c>
      <c r="O30" s="7">
        <f t="shared" si="10"/>
        <v>0</v>
      </c>
    </row>
    <row r="31" spans="1:15" x14ac:dyDescent="0.2">
      <c r="A31">
        <f t="shared" si="3"/>
        <v>27</v>
      </c>
      <c r="B31" s="7">
        <f t="shared" si="4"/>
        <v>0</v>
      </c>
      <c r="C31" s="7">
        <f t="shared" si="0"/>
        <v>0</v>
      </c>
      <c r="D31" s="7">
        <f t="shared" si="1"/>
        <v>0</v>
      </c>
      <c r="E31" s="7">
        <f>SUM(C$5:C31)</f>
        <v>0</v>
      </c>
      <c r="F31" s="7">
        <f>SUM(D$5:D31)</f>
        <v>0</v>
      </c>
      <c r="G31" s="7">
        <f>$D$1-'Amort Schedule - Flip'!F31</f>
        <v>0</v>
      </c>
      <c r="H31" s="11" t="e">
        <f t="shared" si="2"/>
        <v>#DIV/0!</v>
      </c>
      <c r="J31" s="127">
        <f t="shared" si="5"/>
        <v>0</v>
      </c>
      <c r="K31" s="127">
        <f t="shared" si="6"/>
        <v>0</v>
      </c>
      <c r="L31" s="7">
        <f t="shared" si="7"/>
        <v>0</v>
      </c>
      <c r="M31" s="7">
        <f t="shared" si="8"/>
        <v>0</v>
      </c>
      <c r="N31" s="7">
        <f t="shared" si="9"/>
        <v>0</v>
      </c>
      <c r="O31" s="7">
        <f t="shared" si="10"/>
        <v>0</v>
      </c>
    </row>
    <row r="32" spans="1:15" x14ac:dyDescent="0.2">
      <c r="A32">
        <f t="shared" si="3"/>
        <v>28</v>
      </c>
      <c r="B32" s="7">
        <f t="shared" si="4"/>
        <v>0</v>
      </c>
      <c r="C32" s="7">
        <f t="shared" si="0"/>
        <v>0</v>
      </c>
      <c r="D32" s="7">
        <f t="shared" si="1"/>
        <v>0</v>
      </c>
      <c r="E32" s="7">
        <f>SUM(C$5:C32)</f>
        <v>0</v>
      </c>
      <c r="F32" s="7">
        <f>SUM(D$5:D32)</f>
        <v>0</v>
      </c>
      <c r="G32" s="7">
        <f>$D$1-'Amort Schedule - Flip'!F32</f>
        <v>0</v>
      </c>
      <c r="H32" s="11" t="e">
        <f t="shared" si="2"/>
        <v>#DIV/0!</v>
      </c>
      <c r="J32" s="127">
        <f t="shared" si="5"/>
        <v>0</v>
      </c>
      <c r="K32" s="127">
        <f t="shared" si="6"/>
        <v>0</v>
      </c>
      <c r="L32" s="7">
        <f t="shared" si="7"/>
        <v>0</v>
      </c>
      <c r="M32" s="7">
        <f t="shared" si="8"/>
        <v>0</v>
      </c>
      <c r="N32" s="7">
        <f t="shared" si="9"/>
        <v>0</v>
      </c>
      <c r="O32" s="7">
        <f t="shared" si="10"/>
        <v>0</v>
      </c>
    </row>
    <row r="33" spans="1:15" x14ac:dyDescent="0.2">
      <c r="A33">
        <f t="shared" si="3"/>
        <v>29</v>
      </c>
      <c r="B33" s="7">
        <f t="shared" si="4"/>
        <v>0</v>
      </c>
      <c r="C33" s="7">
        <f t="shared" si="0"/>
        <v>0</v>
      </c>
      <c r="D33" s="7">
        <f t="shared" si="1"/>
        <v>0</v>
      </c>
      <c r="E33" s="7">
        <f>SUM(C$5:C33)</f>
        <v>0</v>
      </c>
      <c r="F33" s="7">
        <f>SUM(D$5:D33)</f>
        <v>0</v>
      </c>
      <c r="G33" s="7">
        <f>$D$1-'Amort Schedule - Flip'!F33</f>
        <v>0</v>
      </c>
      <c r="H33" s="11" t="e">
        <f t="shared" si="2"/>
        <v>#DIV/0!</v>
      </c>
      <c r="J33" s="127">
        <f t="shared" si="5"/>
        <v>0</v>
      </c>
      <c r="K33" s="127">
        <f t="shared" si="6"/>
        <v>0</v>
      </c>
      <c r="L33" s="7">
        <f t="shared" si="7"/>
        <v>0</v>
      </c>
      <c r="M33" s="7">
        <f t="shared" si="8"/>
        <v>0</v>
      </c>
      <c r="N33" s="7">
        <f t="shared" si="9"/>
        <v>0</v>
      </c>
      <c r="O33" s="7">
        <f t="shared" si="10"/>
        <v>0</v>
      </c>
    </row>
    <row r="34" spans="1:15" x14ac:dyDescent="0.2">
      <c r="A34">
        <f t="shared" si="3"/>
        <v>30</v>
      </c>
      <c r="B34" s="7">
        <f t="shared" si="4"/>
        <v>0</v>
      </c>
      <c r="C34" s="7">
        <f t="shared" si="0"/>
        <v>0</v>
      </c>
      <c r="D34" s="7">
        <f t="shared" si="1"/>
        <v>0</v>
      </c>
      <c r="E34" s="7">
        <f>SUM(C$5:C34)</f>
        <v>0</v>
      </c>
      <c r="F34" s="7">
        <f>SUM(D$5:D34)</f>
        <v>0</v>
      </c>
      <c r="G34" s="7">
        <f>$D$1-'Amort Schedule - Flip'!F34</f>
        <v>0</v>
      </c>
      <c r="H34" s="11" t="e">
        <f t="shared" si="2"/>
        <v>#DIV/0!</v>
      </c>
      <c r="J34" s="127">
        <f t="shared" si="5"/>
        <v>0</v>
      </c>
      <c r="K34" s="127">
        <f t="shared" si="6"/>
        <v>0</v>
      </c>
      <c r="L34" s="7">
        <f t="shared" si="7"/>
        <v>0</v>
      </c>
      <c r="M34" s="7">
        <f t="shared" si="8"/>
        <v>0</v>
      </c>
      <c r="N34" s="7">
        <f t="shared" si="9"/>
        <v>0</v>
      </c>
      <c r="O34" s="7">
        <f t="shared" si="10"/>
        <v>0</v>
      </c>
    </row>
    <row r="35" spans="1:15" x14ac:dyDescent="0.2">
      <c r="A35">
        <f t="shared" si="3"/>
        <v>31</v>
      </c>
      <c r="B35" s="7">
        <f t="shared" si="4"/>
        <v>0</v>
      </c>
      <c r="C35" s="7">
        <f t="shared" si="0"/>
        <v>0</v>
      </c>
      <c r="D35" s="7">
        <f t="shared" si="1"/>
        <v>0</v>
      </c>
      <c r="E35" s="7">
        <f>SUM(C$5:C35)</f>
        <v>0</v>
      </c>
      <c r="F35" s="7">
        <f>SUM(D$5:D35)</f>
        <v>0</v>
      </c>
      <c r="G35" s="7">
        <f>$D$1-'Amort Schedule - Flip'!F35</f>
        <v>0</v>
      </c>
      <c r="H35" s="11" t="e">
        <f t="shared" si="2"/>
        <v>#DIV/0!</v>
      </c>
      <c r="J35" s="127">
        <f t="shared" si="5"/>
        <v>0</v>
      </c>
      <c r="K35" s="127">
        <f t="shared" si="6"/>
        <v>0</v>
      </c>
      <c r="L35" s="7">
        <f t="shared" si="7"/>
        <v>0</v>
      </c>
      <c r="M35" s="7">
        <f t="shared" si="8"/>
        <v>0</v>
      </c>
      <c r="N35" s="7">
        <f t="shared" si="9"/>
        <v>0</v>
      </c>
      <c r="O35" s="7">
        <f t="shared" si="10"/>
        <v>0</v>
      </c>
    </row>
    <row r="36" spans="1:15" x14ac:dyDescent="0.2">
      <c r="A36">
        <f t="shared" si="3"/>
        <v>32</v>
      </c>
      <c r="B36" s="7">
        <f t="shared" si="4"/>
        <v>0</v>
      </c>
      <c r="C36" s="7">
        <f t="shared" si="0"/>
        <v>0</v>
      </c>
      <c r="D36" s="7">
        <f t="shared" si="1"/>
        <v>0</v>
      </c>
      <c r="E36" s="7">
        <f>SUM(C$5:C36)</f>
        <v>0</v>
      </c>
      <c r="F36" s="7">
        <f>SUM(D$5:D36)</f>
        <v>0</v>
      </c>
      <c r="G36" s="7">
        <f>$D$1-'Amort Schedule - Flip'!F36</f>
        <v>0</v>
      </c>
      <c r="H36" s="11" t="e">
        <f t="shared" si="2"/>
        <v>#DIV/0!</v>
      </c>
      <c r="J36" s="127">
        <f t="shared" si="5"/>
        <v>0</v>
      </c>
      <c r="K36" s="127">
        <f t="shared" si="6"/>
        <v>0</v>
      </c>
      <c r="L36" s="7">
        <f t="shared" si="7"/>
        <v>0</v>
      </c>
      <c r="M36" s="7">
        <f t="shared" si="8"/>
        <v>0</v>
      </c>
      <c r="N36" s="7">
        <f t="shared" si="9"/>
        <v>0</v>
      </c>
      <c r="O36" s="7">
        <f t="shared" si="10"/>
        <v>0</v>
      </c>
    </row>
    <row r="37" spans="1:15" x14ac:dyDescent="0.2">
      <c r="A37">
        <f t="shared" si="3"/>
        <v>33</v>
      </c>
      <c r="B37" s="7">
        <f t="shared" si="4"/>
        <v>0</v>
      </c>
      <c r="C37" s="7">
        <f t="shared" si="0"/>
        <v>0</v>
      </c>
      <c r="D37" s="7">
        <f t="shared" si="1"/>
        <v>0</v>
      </c>
      <c r="E37" s="7">
        <f>SUM(C$5:C37)</f>
        <v>0</v>
      </c>
      <c r="F37" s="7">
        <f>SUM(D$5:D37)</f>
        <v>0</v>
      </c>
      <c r="G37" s="7">
        <f>$D$1-'Amort Schedule - Flip'!F37</f>
        <v>0</v>
      </c>
      <c r="H37" s="11" t="e">
        <f t="shared" si="2"/>
        <v>#DIV/0!</v>
      </c>
      <c r="J37" s="127">
        <f t="shared" si="5"/>
        <v>0</v>
      </c>
      <c r="K37" s="127">
        <f t="shared" si="6"/>
        <v>0</v>
      </c>
      <c r="L37" s="7">
        <f t="shared" si="7"/>
        <v>0</v>
      </c>
      <c r="M37" s="7">
        <f t="shared" si="8"/>
        <v>0</v>
      </c>
      <c r="N37" s="7">
        <f t="shared" si="9"/>
        <v>0</v>
      </c>
      <c r="O37" s="7">
        <f t="shared" si="10"/>
        <v>0</v>
      </c>
    </row>
    <row r="38" spans="1:15" x14ac:dyDescent="0.2">
      <c r="A38">
        <f t="shared" si="3"/>
        <v>34</v>
      </c>
      <c r="B38" s="7">
        <f t="shared" si="4"/>
        <v>0</v>
      </c>
      <c r="C38" s="7">
        <f t="shared" si="0"/>
        <v>0</v>
      </c>
      <c r="D38" s="7">
        <f t="shared" si="1"/>
        <v>0</v>
      </c>
      <c r="E38" s="7">
        <f>SUM(C$5:C38)</f>
        <v>0</v>
      </c>
      <c r="F38" s="7">
        <f>SUM(D$5:D38)</f>
        <v>0</v>
      </c>
      <c r="G38" s="7">
        <f>$D$1-'Amort Schedule - Flip'!F38</f>
        <v>0</v>
      </c>
      <c r="H38" s="11" t="e">
        <f t="shared" si="2"/>
        <v>#DIV/0!</v>
      </c>
      <c r="J38" s="127">
        <f t="shared" si="5"/>
        <v>0</v>
      </c>
      <c r="K38" s="127">
        <f t="shared" si="6"/>
        <v>0</v>
      </c>
      <c r="L38" s="7">
        <f t="shared" si="7"/>
        <v>0</v>
      </c>
      <c r="M38" s="7">
        <f t="shared" si="8"/>
        <v>0</v>
      </c>
      <c r="N38" s="7">
        <f t="shared" si="9"/>
        <v>0</v>
      </c>
      <c r="O38" s="7">
        <f t="shared" si="10"/>
        <v>0</v>
      </c>
    </row>
    <row r="39" spans="1:15" x14ac:dyDescent="0.2">
      <c r="A39">
        <f t="shared" si="3"/>
        <v>35</v>
      </c>
      <c r="B39" s="7">
        <f t="shared" si="4"/>
        <v>0</v>
      </c>
      <c r="C39" s="7">
        <f t="shared" si="0"/>
        <v>0</v>
      </c>
      <c r="D39" s="7">
        <f t="shared" si="1"/>
        <v>0</v>
      </c>
      <c r="E39" s="7">
        <f>SUM(C$5:C39)</f>
        <v>0</v>
      </c>
      <c r="F39" s="7">
        <f>SUM(D$5:D39)</f>
        <v>0</v>
      </c>
      <c r="G39" s="7">
        <f>$D$1-'Amort Schedule - Flip'!F39</f>
        <v>0</v>
      </c>
      <c r="H39" s="11" t="e">
        <f t="shared" si="2"/>
        <v>#DIV/0!</v>
      </c>
      <c r="J39" s="127">
        <f t="shared" si="5"/>
        <v>0</v>
      </c>
      <c r="K39" s="127">
        <f t="shared" si="6"/>
        <v>0</v>
      </c>
      <c r="L39" s="7">
        <f t="shared" si="7"/>
        <v>0</v>
      </c>
      <c r="M39" s="7">
        <f t="shared" si="8"/>
        <v>0</v>
      </c>
      <c r="N39" s="7">
        <f t="shared" si="9"/>
        <v>0</v>
      </c>
      <c r="O39" s="7">
        <f t="shared" si="10"/>
        <v>0</v>
      </c>
    </row>
    <row r="40" spans="1:15" s="6" customFormat="1" x14ac:dyDescent="0.2">
      <c r="A40" s="6">
        <f t="shared" si="3"/>
        <v>36</v>
      </c>
      <c r="B40" s="128">
        <f t="shared" si="4"/>
        <v>0</v>
      </c>
      <c r="C40" s="128">
        <f t="shared" si="0"/>
        <v>0</v>
      </c>
      <c r="D40" s="128">
        <f t="shared" si="1"/>
        <v>0</v>
      </c>
      <c r="E40" s="128">
        <f>SUM(C$5:C40)</f>
        <v>0</v>
      </c>
      <c r="F40" s="128">
        <f>SUM(D$5:D40)</f>
        <v>0</v>
      </c>
      <c r="G40" s="128">
        <f>$D$1-'Amort Schedule - Flip'!F40</f>
        <v>0</v>
      </c>
      <c r="H40" s="124" t="e">
        <f t="shared" si="2"/>
        <v>#DIV/0!</v>
      </c>
      <c r="J40" s="131">
        <f t="shared" si="5"/>
        <v>0</v>
      </c>
      <c r="K40" s="131">
        <f t="shared" si="6"/>
        <v>0</v>
      </c>
      <c r="L40" s="128">
        <f t="shared" si="7"/>
        <v>0</v>
      </c>
      <c r="M40" s="128">
        <f t="shared" si="8"/>
        <v>0</v>
      </c>
      <c r="N40" s="128">
        <f t="shared" si="9"/>
        <v>0</v>
      </c>
      <c r="O40" s="128">
        <f t="shared" si="10"/>
        <v>0</v>
      </c>
    </row>
    <row r="41" spans="1:15" x14ac:dyDescent="0.2">
      <c r="A41">
        <f t="shared" si="3"/>
        <v>37</v>
      </c>
      <c r="B41" s="7">
        <f t="shared" si="4"/>
        <v>0</v>
      </c>
      <c r="C41" s="7">
        <f t="shared" si="0"/>
        <v>0</v>
      </c>
      <c r="D41" s="7">
        <f t="shared" si="1"/>
        <v>0</v>
      </c>
      <c r="E41" s="7">
        <f>SUM(C$5:C41)</f>
        <v>0</v>
      </c>
      <c r="F41" s="7">
        <f>SUM(D$5:D41)</f>
        <v>0</v>
      </c>
      <c r="G41" s="7">
        <f>$D$1-'Amort Schedule - Flip'!F41</f>
        <v>0</v>
      </c>
      <c r="H41" s="11" t="e">
        <f t="shared" si="2"/>
        <v>#DIV/0!</v>
      </c>
      <c r="J41" s="127">
        <f t="shared" si="5"/>
        <v>0</v>
      </c>
      <c r="K41" s="127">
        <f t="shared" si="6"/>
        <v>0</v>
      </c>
      <c r="L41" s="7">
        <f t="shared" si="7"/>
        <v>0</v>
      </c>
      <c r="M41" s="7">
        <f t="shared" si="8"/>
        <v>0</v>
      </c>
      <c r="N41" s="7">
        <f t="shared" si="9"/>
        <v>0</v>
      </c>
      <c r="O41" s="7">
        <f t="shared" si="10"/>
        <v>0</v>
      </c>
    </row>
    <row r="42" spans="1:15" x14ac:dyDescent="0.2">
      <c r="A42">
        <f t="shared" si="3"/>
        <v>38</v>
      </c>
      <c r="B42" s="7">
        <f t="shared" si="4"/>
        <v>0</v>
      </c>
      <c r="C42" s="7">
        <f t="shared" si="0"/>
        <v>0</v>
      </c>
      <c r="D42" s="7">
        <f t="shared" si="1"/>
        <v>0</v>
      </c>
      <c r="E42" s="7">
        <f>SUM(C$5:C42)</f>
        <v>0</v>
      </c>
      <c r="F42" s="7">
        <f>SUM(D$5:D42)</f>
        <v>0</v>
      </c>
      <c r="G42" s="7">
        <f>$D$1-'Amort Schedule - Flip'!F42</f>
        <v>0</v>
      </c>
      <c r="H42" s="11" t="e">
        <f t="shared" si="2"/>
        <v>#DIV/0!</v>
      </c>
      <c r="J42" s="127">
        <f t="shared" si="5"/>
        <v>0</v>
      </c>
      <c r="K42" s="127">
        <f t="shared" si="6"/>
        <v>0</v>
      </c>
      <c r="L42" s="7">
        <f t="shared" si="7"/>
        <v>0</v>
      </c>
      <c r="M42" s="7">
        <f t="shared" si="8"/>
        <v>0</v>
      </c>
      <c r="N42" s="7">
        <f t="shared" si="9"/>
        <v>0</v>
      </c>
      <c r="O42" s="7">
        <f t="shared" si="10"/>
        <v>0</v>
      </c>
    </row>
    <row r="43" spans="1:15" x14ac:dyDescent="0.2">
      <c r="A43">
        <f t="shared" si="3"/>
        <v>39</v>
      </c>
      <c r="B43" s="7">
        <f t="shared" si="4"/>
        <v>0</v>
      </c>
      <c r="C43" s="7">
        <f t="shared" si="0"/>
        <v>0</v>
      </c>
      <c r="D43" s="7">
        <f t="shared" si="1"/>
        <v>0</v>
      </c>
      <c r="E43" s="7">
        <f>SUM(C$5:C43)</f>
        <v>0</v>
      </c>
      <c r="F43" s="7">
        <f>SUM(D$5:D43)</f>
        <v>0</v>
      </c>
      <c r="G43" s="7">
        <f>$D$1-'Amort Schedule - Flip'!F43</f>
        <v>0</v>
      </c>
      <c r="H43" s="11" t="e">
        <f t="shared" si="2"/>
        <v>#DIV/0!</v>
      </c>
      <c r="J43" s="127">
        <f t="shared" si="5"/>
        <v>0</v>
      </c>
      <c r="K43" s="127">
        <f t="shared" si="6"/>
        <v>0</v>
      </c>
      <c r="L43" s="7">
        <f t="shared" si="7"/>
        <v>0</v>
      </c>
      <c r="M43" s="7">
        <f t="shared" si="8"/>
        <v>0</v>
      </c>
      <c r="N43" s="7">
        <f t="shared" si="9"/>
        <v>0</v>
      </c>
      <c r="O43" s="7">
        <f t="shared" si="10"/>
        <v>0</v>
      </c>
    </row>
    <row r="44" spans="1:15" x14ac:dyDescent="0.2">
      <c r="A44">
        <f t="shared" si="3"/>
        <v>40</v>
      </c>
      <c r="B44" s="7">
        <f t="shared" si="4"/>
        <v>0</v>
      </c>
      <c r="C44" s="7">
        <f t="shared" si="0"/>
        <v>0</v>
      </c>
      <c r="D44" s="7">
        <f t="shared" si="1"/>
        <v>0</v>
      </c>
      <c r="E44" s="7">
        <f>SUM(C$5:C44)</f>
        <v>0</v>
      </c>
      <c r="F44" s="7">
        <f>SUM(D$5:D44)</f>
        <v>0</v>
      </c>
      <c r="G44" s="7">
        <f>$D$1-'Amort Schedule - Flip'!F44</f>
        <v>0</v>
      </c>
      <c r="H44" s="11" t="e">
        <f t="shared" si="2"/>
        <v>#DIV/0!</v>
      </c>
      <c r="J44" s="127">
        <f t="shared" si="5"/>
        <v>0</v>
      </c>
      <c r="K44" s="127">
        <f t="shared" si="6"/>
        <v>0</v>
      </c>
      <c r="L44" s="7">
        <f t="shared" si="7"/>
        <v>0</v>
      </c>
      <c r="M44" s="7">
        <f t="shared" si="8"/>
        <v>0</v>
      </c>
      <c r="N44" s="7">
        <f t="shared" si="9"/>
        <v>0</v>
      </c>
      <c r="O44" s="7">
        <f t="shared" si="10"/>
        <v>0</v>
      </c>
    </row>
    <row r="45" spans="1:15" x14ac:dyDescent="0.2">
      <c r="A45">
        <f t="shared" si="3"/>
        <v>41</v>
      </c>
      <c r="B45" s="7">
        <f t="shared" si="4"/>
        <v>0</v>
      </c>
      <c r="C45" s="7">
        <f t="shared" si="0"/>
        <v>0</v>
      </c>
      <c r="D45" s="7">
        <f t="shared" si="1"/>
        <v>0</v>
      </c>
      <c r="E45" s="7">
        <f>SUM(C$5:C45)</f>
        <v>0</v>
      </c>
      <c r="F45" s="7">
        <f>SUM(D$5:D45)</f>
        <v>0</v>
      </c>
      <c r="G45" s="7">
        <f>$D$1-'Amort Schedule - Flip'!F45</f>
        <v>0</v>
      </c>
      <c r="H45" s="11" t="e">
        <f t="shared" si="2"/>
        <v>#DIV/0!</v>
      </c>
      <c r="J45" s="127">
        <f t="shared" si="5"/>
        <v>0</v>
      </c>
      <c r="K45" s="127">
        <f t="shared" si="6"/>
        <v>0</v>
      </c>
      <c r="L45" s="7">
        <f t="shared" si="7"/>
        <v>0</v>
      </c>
      <c r="M45" s="7">
        <f t="shared" si="8"/>
        <v>0</v>
      </c>
      <c r="N45" s="7">
        <f t="shared" si="9"/>
        <v>0</v>
      </c>
      <c r="O45" s="7">
        <f t="shared" si="10"/>
        <v>0</v>
      </c>
    </row>
    <row r="46" spans="1:15" x14ac:dyDescent="0.2">
      <c r="A46">
        <f t="shared" si="3"/>
        <v>42</v>
      </c>
      <c r="B46" s="7">
        <f t="shared" si="4"/>
        <v>0</v>
      </c>
      <c r="C46" s="7">
        <f t="shared" si="0"/>
        <v>0</v>
      </c>
      <c r="D46" s="7">
        <f t="shared" si="1"/>
        <v>0</v>
      </c>
      <c r="E46" s="7">
        <f>SUM(C$5:C46)</f>
        <v>0</v>
      </c>
      <c r="F46" s="7">
        <f>SUM(D$5:D46)</f>
        <v>0</v>
      </c>
      <c r="G46" s="7">
        <f>$D$1-'Amort Schedule - Flip'!F46</f>
        <v>0</v>
      </c>
      <c r="H46" s="11" t="e">
        <f t="shared" si="2"/>
        <v>#DIV/0!</v>
      </c>
      <c r="J46" s="127">
        <f t="shared" si="5"/>
        <v>0</v>
      </c>
      <c r="K46" s="127">
        <f t="shared" si="6"/>
        <v>0</v>
      </c>
      <c r="L46" s="7">
        <f t="shared" si="7"/>
        <v>0</v>
      </c>
      <c r="M46" s="7">
        <f t="shared" si="8"/>
        <v>0</v>
      </c>
      <c r="N46" s="7">
        <f t="shared" si="9"/>
        <v>0</v>
      </c>
      <c r="O46" s="7">
        <f t="shared" si="10"/>
        <v>0</v>
      </c>
    </row>
    <row r="47" spans="1:15" x14ac:dyDescent="0.2">
      <c r="A47">
        <f t="shared" si="3"/>
        <v>43</v>
      </c>
      <c r="B47" s="7">
        <f t="shared" si="4"/>
        <v>0</v>
      </c>
      <c r="C47" s="7">
        <f t="shared" si="0"/>
        <v>0</v>
      </c>
      <c r="D47" s="7">
        <f t="shared" si="1"/>
        <v>0</v>
      </c>
      <c r="E47" s="7">
        <f>SUM(C$5:C47)</f>
        <v>0</v>
      </c>
      <c r="F47" s="7">
        <f>SUM(D$5:D47)</f>
        <v>0</v>
      </c>
      <c r="G47" s="7">
        <f>$D$1-'Amort Schedule - Flip'!F47</f>
        <v>0</v>
      </c>
      <c r="H47" s="11" t="e">
        <f t="shared" si="2"/>
        <v>#DIV/0!</v>
      </c>
      <c r="J47" s="127">
        <f t="shared" si="5"/>
        <v>0</v>
      </c>
      <c r="K47" s="127">
        <f t="shared" si="6"/>
        <v>0</v>
      </c>
      <c r="L47" s="7">
        <f t="shared" si="7"/>
        <v>0</v>
      </c>
      <c r="M47" s="7">
        <f t="shared" si="8"/>
        <v>0</v>
      </c>
      <c r="N47" s="7">
        <f t="shared" si="9"/>
        <v>0</v>
      </c>
      <c r="O47" s="7">
        <f t="shared" si="10"/>
        <v>0</v>
      </c>
    </row>
    <row r="48" spans="1:15" x14ac:dyDescent="0.2">
      <c r="A48">
        <f t="shared" si="3"/>
        <v>44</v>
      </c>
      <c r="B48" s="7">
        <f t="shared" si="4"/>
        <v>0</v>
      </c>
      <c r="C48" s="7">
        <f t="shared" si="0"/>
        <v>0</v>
      </c>
      <c r="D48" s="7">
        <f t="shared" si="1"/>
        <v>0</v>
      </c>
      <c r="E48" s="7">
        <f>SUM(C$5:C48)</f>
        <v>0</v>
      </c>
      <c r="F48" s="7">
        <f>SUM(D$5:D48)</f>
        <v>0</v>
      </c>
      <c r="G48" s="7">
        <f>$D$1-'Amort Schedule - Flip'!F48</f>
        <v>0</v>
      </c>
      <c r="H48" s="11" t="e">
        <f t="shared" si="2"/>
        <v>#DIV/0!</v>
      </c>
      <c r="J48" s="127">
        <f t="shared" si="5"/>
        <v>0</v>
      </c>
      <c r="K48" s="127">
        <f t="shared" si="6"/>
        <v>0</v>
      </c>
      <c r="L48" s="7">
        <f t="shared" si="7"/>
        <v>0</v>
      </c>
      <c r="M48" s="7">
        <f t="shared" si="8"/>
        <v>0</v>
      </c>
      <c r="N48" s="7">
        <f t="shared" si="9"/>
        <v>0</v>
      </c>
      <c r="O48" s="7">
        <f t="shared" si="10"/>
        <v>0</v>
      </c>
    </row>
    <row r="49" spans="1:15" x14ac:dyDescent="0.2">
      <c r="A49">
        <f t="shared" si="3"/>
        <v>45</v>
      </c>
      <c r="B49" s="7">
        <f t="shared" si="4"/>
        <v>0</v>
      </c>
      <c r="C49" s="7">
        <f t="shared" si="0"/>
        <v>0</v>
      </c>
      <c r="D49" s="7">
        <f t="shared" si="1"/>
        <v>0</v>
      </c>
      <c r="E49" s="7">
        <f>SUM(C$5:C49)</f>
        <v>0</v>
      </c>
      <c r="F49" s="7">
        <f>SUM(D$5:D49)</f>
        <v>0</v>
      </c>
      <c r="G49" s="7">
        <f>$D$1-'Amort Schedule - Flip'!F49</f>
        <v>0</v>
      </c>
      <c r="H49" s="11" t="e">
        <f t="shared" si="2"/>
        <v>#DIV/0!</v>
      </c>
      <c r="J49" s="127">
        <f t="shared" si="5"/>
        <v>0</v>
      </c>
      <c r="K49" s="127">
        <f t="shared" si="6"/>
        <v>0</v>
      </c>
      <c r="L49" s="7">
        <f t="shared" si="7"/>
        <v>0</v>
      </c>
      <c r="M49" s="7">
        <f t="shared" si="8"/>
        <v>0</v>
      </c>
      <c r="N49" s="7">
        <f t="shared" si="9"/>
        <v>0</v>
      </c>
      <c r="O49" s="7">
        <f t="shared" si="10"/>
        <v>0</v>
      </c>
    </row>
    <row r="50" spans="1:15" x14ac:dyDescent="0.2">
      <c r="A50">
        <f t="shared" si="3"/>
        <v>46</v>
      </c>
      <c r="B50" s="7">
        <f t="shared" si="4"/>
        <v>0</v>
      </c>
      <c r="C50" s="7">
        <f t="shared" si="0"/>
        <v>0</v>
      </c>
      <c r="D50" s="7">
        <f t="shared" si="1"/>
        <v>0</v>
      </c>
      <c r="E50" s="7">
        <f>SUM(C$5:C50)</f>
        <v>0</v>
      </c>
      <c r="F50" s="7">
        <f>SUM(D$5:D50)</f>
        <v>0</v>
      </c>
      <c r="G50" s="7">
        <f>$D$1-'Amort Schedule - Flip'!F50</f>
        <v>0</v>
      </c>
      <c r="H50" s="11" t="e">
        <f t="shared" si="2"/>
        <v>#DIV/0!</v>
      </c>
      <c r="J50" s="127">
        <f t="shared" si="5"/>
        <v>0</v>
      </c>
      <c r="K50" s="127">
        <f t="shared" si="6"/>
        <v>0</v>
      </c>
      <c r="L50" s="7">
        <f t="shared" si="7"/>
        <v>0</v>
      </c>
      <c r="M50" s="7">
        <f t="shared" si="8"/>
        <v>0</v>
      </c>
      <c r="N50" s="7">
        <f t="shared" si="9"/>
        <v>0</v>
      </c>
      <c r="O50" s="7">
        <f t="shared" si="10"/>
        <v>0</v>
      </c>
    </row>
    <row r="51" spans="1:15" x14ac:dyDescent="0.2">
      <c r="A51">
        <f t="shared" si="3"/>
        <v>47</v>
      </c>
      <c r="B51" s="7">
        <f t="shared" si="4"/>
        <v>0</v>
      </c>
      <c r="C51" s="7">
        <f t="shared" si="0"/>
        <v>0</v>
      </c>
      <c r="D51" s="7">
        <f t="shared" si="1"/>
        <v>0</v>
      </c>
      <c r="E51" s="7">
        <f>SUM(C$5:C51)</f>
        <v>0</v>
      </c>
      <c r="F51" s="7">
        <f>SUM(D$5:D51)</f>
        <v>0</v>
      </c>
      <c r="G51" s="7">
        <f>$D$1-'Amort Schedule - Flip'!F51</f>
        <v>0</v>
      </c>
      <c r="H51" s="11" t="e">
        <f t="shared" si="2"/>
        <v>#DIV/0!</v>
      </c>
      <c r="J51" s="127">
        <f t="shared" si="5"/>
        <v>0</v>
      </c>
      <c r="K51" s="127">
        <f t="shared" si="6"/>
        <v>0</v>
      </c>
      <c r="L51" s="7">
        <f t="shared" si="7"/>
        <v>0</v>
      </c>
      <c r="M51" s="7">
        <f t="shared" si="8"/>
        <v>0</v>
      </c>
      <c r="N51" s="7">
        <f t="shared" si="9"/>
        <v>0</v>
      </c>
      <c r="O51" s="7">
        <f t="shared" si="10"/>
        <v>0</v>
      </c>
    </row>
    <row r="52" spans="1:15" s="6" customFormat="1" x14ac:dyDescent="0.2">
      <c r="A52" s="6">
        <f t="shared" si="3"/>
        <v>48</v>
      </c>
      <c r="B52" s="128">
        <f t="shared" si="4"/>
        <v>0</v>
      </c>
      <c r="C52" s="128">
        <f t="shared" si="0"/>
        <v>0</v>
      </c>
      <c r="D52" s="128">
        <f t="shared" si="1"/>
        <v>0</v>
      </c>
      <c r="E52" s="128">
        <f>SUM(C$5:C52)</f>
        <v>0</v>
      </c>
      <c r="F52" s="128">
        <f>SUM(D$5:D52)</f>
        <v>0</v>
      </c>
      <c r="G52" s="128">
        <f>$D$1-'Amort Schedule - Flip'!F52</f>
        <v>0</v>
      </c>
      <c r="H52" s="124" t="e">
        <f t="shared" si="2"/>
        <v>#DIV/0!</v>
      </c>
      <c r="J52" s="131">
        <f t="shared" si="5"/>
        <v>0</v>
      </c>
      <c r="K52" s="131">
        <f t="shared" si="6"/>
        <v>0</v>
      </c>
      <c r="L52" s="128">
        <f t="shared" si="7"/>
        <v>0</v>
      </c>
      <c r="M52" s="128">
        <f t="shared" si="8"/>
        <v>0</v>
      </c>
      <c r="N52" s="128">
        <f t="shared" si="9"/>
        <v>0</v>
      </c>
      <c r="O52" s="128">
        <f t="shared" si="10"/>
        <v>0</v>
      </c>
    </row>
    <row r="53" spans="1:15" x14ac:dyDescent="0.2">
      <c r="A53">
        <f t="shared" si="3"/>
        <v>49</v>
      </c>
      <c r="B53" s="7">
        <f t="shared" si="4"/>
        <v>0</v>
      </c>
      <c r="C53" s="7">
        <f t="shared" si="0"/>
        <v>0</v>
      </c>
      <c r="D53" s="7">
        <f t="shared" si="1"/>
        <v>0</v>
      </c>
      <c r="E53" s="7">
        <f>SUM(C$5:C53)</f>
        <v>0</v>
      </c>
      <c r="F53" s="7">
        <f>SUM(D$5:D53)</f>
        <v>0</v>
      </c>
      <c r="G53" s="7">
        <f>$D$1-'Amort Schedule - Flip'!F53</f>
        <v>0</v>
      </c>
      <c r="H53" s="11" t="e">
        <f t="shared" si="2"/>
        <v>#DIV/0!</v>
      </c>
      <c r="J53" s="127">
        <f t="shared" si="5"/>
        <v>0</v>
      </c>
      <c r="K53" s="127">
        <f t="shared" si="6"/>
        <v>0</v>
      </c>
      <c r="L53" s="7">
        <f t="shared" si="7"/>
        <v>0</v>
      </c>
      <c r="M53" s="7">
        <f t="shared" si="8"/>
        <v>0</v>
      </c>
      <c r="N53" s="7">
        <f t="shared" si="9"/>
        <v>0</v>
      </c>
      <c r="O53" s="7">
        <f t="shared" si="10"/>
        <v>0</v>
      </c>
    </row>
    <row r="54" spans="1:15" x14ac:dyDescent="0.2">
      <c r="A54">
        <f t="shared" si="3"/>
        <v>50</v>
      </c>
      <c r="B54" s="7">
        <f t="shared" si="4"/>
        <v>0</v>
      </c>
      <c r="C54" s="7">
        <f t="shared" si="0"/>
        <v>0</v>
      </c>
      <c r="D54" s="7">
        <f t="shared" si="1"/>
        <v>0</v>
      </c>
      <c r="E54" s="7">
        <f>SUM(C$5:C54)</f>
        <v>0</v>
      </c>
      <c r="F54" s="7">
        <f>SUM(D$5:D54)</f>
        <v>0</v>
      </c>
      <c r="G54" s="7">
        <f>$D$1-'Amort Schedule - Flip'!F54</f>
        <v>0</v>
      </c>
      <c r="H54" s="11" t="e">
        <f t="shared" si="2"/>
        <v>#DIV/0!</v>
      </c>
      <c r="J54" s="127">
        <f t="shared" si="5"/>
        <v>0</v>
      </c>
      <c r="K54" s="127">
        <f t="shared" si="6"/>
        <v>0</v>
      </c>
      <c r="L54" s="7">
        <f t="shared" si="7"/>
        <v>0</v>
      </c>
      <c r="M54" s="7">
        <f t="shared" si="8"/>
        <v>0</v>
      </c>
      <c r="N54" s="7">
        <f t="shared" si="9"/>
        <v>0</v>
      </c>
      <c r="O54" s="7">
        <f t="shared" si="10"/>
        <v>0</v>
      </c>
    </row>
    <row r="55" spans="1:15" x14ac:dyDescent="0.2">
      <c r="A55">
        <f t="shared" si="3"/>
        <v>51</v>
      </c>
      <c r="B55" s="7">
        <f t="shared" si="4"/>
        <v>0</v>
      </c>
      <c r="C55" s="7">
        <f t="shared" si="0"/>
        <v>0</v>
      </c>
      <c r="D55" s="7">
        <f t="shared" si="1"/>
        <v>0</v>
      </c>
      <c r="E55" s="7">
        <f>SUM(C$5:C55)</f>
        <v>0</v>
      </c>
      <c r="F55" s="7">
        <f>SUM(D$5:D55)</f>
        <v>0</v>
      </c>
      <c r="G55" s="7">
        <f>$D$1-'Amort Schedule - Flip'!F55</f>
        <v>0</v>
      </c>
      <c r="H55" s="11" t="e">
        <f t="shared" si="2"/>
        <v>#DIV/0!</v>
      </c>
      <c r="J55" s="127">
        <f t="shared" si="5"/>
        <v>0</v>
      </c>
      <c r="K55" s="127">
        <f t="shared" si="6"/>
        <v>0</v>
      </c>
      <c r="L55" s="7">
        <f t="shared" si="7"/>
        <v>0</v>
      </c>
      <c r="M55" s="7">
        <f t="shared" si="8"/>
        <v>0</v>
      </c>
      <c r="N55" s="7">
        <f t="shared" si="9"/>
        <v>0</v>
      </c>
      <c r="O55" s="7">
        <f t="shared" si="10"/>
        <v>0</v>
      </c>
    </row>
    <row r="56" spans="1:15" x14ac:dyDescent="0.2">
      <c r="A56">
        <f t="shared" si="3"/>
        <v>52</v>
      </c>
      <c r="B56" s="7">
        <f t="shared" si="4"/>
        <v>0</v>
      </c>
      <c r="C56" s="7">
        <f t="shared" si="0"/>
        <v>0</v>
      </c>
      <c r="D56" s="7">
        <f t="shared" si="1"/>
        <v>0</v>
      </c>
      <c r="E56" s="7">
        <f>SUM(C$5:C56)</f>
        <v>0</v>
      </c>
      <c r="F56" s="7">
        <f>SUM(D$5:D56)</f>
        <v>0</v>
      </c>
      <c r="G56" s="7">
        <f>$D$1-'Amort Schedule - Flip'!F56</f>
        <v>0</v>
      </c>
      <c r="H56" s="11" t="e">
        <f t="shared" si="2"/>
        <v>#DIV/0!</v>
      </c>
      <c r="J56" s="127">
        <f t="shared" si="5"/>
        <v>0</v>
      </c>
      <c r="K56" s="127">
        <f t="shared" si="6"/>
        <v>0</v>
      </c>
      <c r="L56" s="7">
        <f t="shared" si="7"/>
        <v>0</v>
      </c>
      <c r="M56" s="7">
        <f t="shared" si="8"/>
        <v>0</v>
      </c>
      <c r="N56" s="7">
        <f t="shared" si="9"/>
        <v>0</v>
      </c>
      <c r="O56" s="7">
        <f t="shared" si="10"/>
        <v>0</v>
      </c>
    </row>
    <row r="57" spans="1:15" x14ac:dyDescent="0.2">
      <c r="A57">
        <f t="shared" si="3"/>
        <v>53</v>
      </c>
      <c r="B57" s="7">
        <f t="shared" si="4"/>
        <v>0</v>
      </c>
      <c r="C57" s="7">
        <f t="shared" si="0"/>
        <v>0</v>
      </c>
      <c r="D57" s="7">
        <f t="shared" si="1"/>
        <v>0</v>
      </c>
      <c r="E57" s="7">
        <f>SUM(C$5:C57)</f>
        <v>0</v>
      </c>
      <c r="F57" s="7">
        <f>SUM(D$5:D57)</f>
        <v>0</v>
      </c>
      <c r="G57" s="7">
        <f>$D$1-'Amort Schedule - Flip'!F57</f>
        <v>0</v>
      </c>
      <c r="H57" s="11" t="e">
        <f t="shared" si="2"/>
        <v>#DIV/0!</v>
      </c>
      <c r="J57" s="127">
        <f t="shared" si="5"/>
        <v>0</v>
      </c>
      <c r="K57" s="127">
        <f t="shared" si="6"/>
        <v>0</v>
      </c>
      <c r="L57" s="7">
        <f t="shared" si="7"/>
        <v>0</v>
      </c>
      <c r="M57" s="7">
        <f t="shared" si="8"/>
        <v>0</v>
      </c>
      <c r="N57" s="7">
        <f t="shared" si="9"/>
        <v>0</v>
      </c>
      <c r="O57" s="7">
        <f t="shared" si="10"/>
        <v>0</v>
      </c>
    </row>
    <row r="58" spans="1:15" x14ac:dyDescent="0.2">
      <c r="A58">
        <f t="shared" si="3"/>
        <v>54</v>
      </c>
      <c r="B58" s="7">
        <f t="shared" si="4"/>
        <v>0</v>
      </c>
      <c r="C58" s="7">
        <f t="shared" si="0"/>
        <v>0</v>
      </c>
      <c r="D58" s="7">
        <f t="shared" si="1"/>
        <v>0</v>
      </c>
      <c r="E58" s="7">
        <f>SUM(C$5:C58)</f>
        <v>0</v>
      </c>
      <c r="F58" s="7">
        <f>SUM(D$5:D58)</f>
        <v>0</v>
      </c>
      <c r="G58" s="7">
        <f>$D$1-'Amort Schedule - Flip'!F58</f>
        <v>0</v>
      </c>
      <c r="H58" s="11" t="e">
        <f t="shared" si="2"/>
        <v>#DIV/0!</v>
      </c>
      <c r="J58" s="127">
        <f t="shared" si="5"/>
        <v>0</v>
      </c>
      <c r="K58" s="127">
        <f t="shared" si="6"/>
        <v>0</v>
      </c>
      <c r="L58" s="7">
        <f t="shared" si="7"/>
        <v>0</v>
      </c>
      <c r="M58" s="7">
        <f t="shared" si="8"/>
        <v>0</v>
      </c>
      <c r="N58" s="7">
        <f t="shared" si="9"/>
        <v>0</v>
      </c>
      <c r="O58" s="7">
        <f t="shared" si="10"/>
        <v>0</v>
      </c>
    </row>
    <row r="59" spans="1:15" x14ac:dyDescent="0.2">
      <c r="A59">
        <f t="shared" si="3"/>
        <v>55</v>
      </c>
      <c r="B59" s="7">
        <f t="shared" si="4"/>
        <v>0</v>
      </c>
      <c r="C59" s="7">
        <f t="shared" si="0"/>
        <v>0</v>
      </c>
      <c r="D59" s="7">
        <f t="shared" si="1"/>
        <v>0</v>
      </c>
      <c r="E59" s="7">
        <f>SUM(C$5:C59)</f>
        <v>0</v>
      </c>
      <c r="F59" s="7">
        <f>SUM(D$5:D59)</f>
        <v>0</v>
      </c>
      <c r="G59" s="7">
        <f>$D$1-'Amort Schedule - Flip'!F59</f>
        <v>0</v>
      </c>
      <c r="H59" s="11" t="e">
        <f t="shared" si="2"/>
        <v>#DIV/0!</v>
      </c>
      <c r="J59" s="127">
        <f t="shared" si="5"/>
        <v>0</v>
      </c>
      <c r="K59" s="127">
        <f t="shared" si="6"/>
        <v>0</v>
      </c>
      <c r="L59" s="7">
        <f t="shared" si="7"/>
        <v>0</v>
      </c>
      <c r="M59" s="7">
        <f t="shared" si="8"/>
        <v>0</v>
      </c>
      <c r="N59" s="7">
        <f t="shared" si="9"/>
        <v>0</v>
      </c>
      <c r="O59" s="7">
        <f t="shared" si="10"/>
        <v>0</v>
      </c>
    </row>
    <row r="60" spans="1:15" x14ac:dyDescent="0.2">
      <c r="A60">
        <f t="shared" si="3"/>
        <v>56</v>
      </c>
      <c r="B60" s="7">
        <f t="shared" si="4"/>
        <v>0</v>
      </c>
      <c r="C60" s="7">
        <f t="shared" si="0"/>
        <v>0</v>
      </c>
      <c r="D60" s="7">
        <f t="shared" si="1"/>
        <v>0</v>
      </c>
      <c r="E60" s="7">
        <f>SUM(C$5:C60)</f>
        <v>0</v>
      </c>
      <c r="F60" s="7">
        <f>SUM(D$5:D60)</f>
        <v>0</v>
      </c>
      <c r="G60" s="7">
        <f>$D$1-'Amort Schedule - Flip'!F60</f>
        <v>0</v>
      </c>
      <c r="H60" s="11" t="e">
        <f t="shared" si="2"/>
        <v>#DIV/0!</v>
      </c>
      <c r="J60" s="127">
        <f t="shared" si="5"/>
        <v>0</v>
      </c>
      <c r="K60" s="127">
        <f t="shared" si="6"/>
        <v>0</v>
      </c>
      <c r="L60" s="7">
        <f t="shared" si="7"/>
        <v>0</v>
      </c>
      <c r="M60" s="7">
        <f t="shared" si="8"/>
        <v>0</v>
      </c>
      <c r="N60" s="7">
        <f t="shared" si="9"/>
        <v>0</v>
      </c>
      <c r="O60" s="7">
        <f t="shared" si="10"/>
        <v>0</v>
      </c>
    </row>
    <row r="61" spans="1:15" x14ac:dyDescent="0.2">
      <c r="A61">
        <f t="shared" si="3"/>
        <v>57</v>
      </c>
      <c r="B61" s="7">
        <f t="shared" si="4"/>
        <v>0</v>
      </c>
      <c r="C61" s="7">
        <f t="shared" si="0"/>
        <v>0</v>
      </c>
      <c r="D61" s="7">
        <f t="shared" si="1"/>
        <v>0</v>
      </c>
      <c r="E61" s="7">
        <f>SUM(C$5:C61)</f>
        <v>0</v>
      </c>
      <c r="F61" s="7">
        <f>SUM(D$5:D61)</f>
        <v>0</v>
      </c>
      <c r="G61" s="7">
        <f>$D$1-'Amort Schedule - Flip'!F61</f>
        <v>0</v>
      </c>
      <c r="H61" s="11" t="e">
        <f t="shared" si="2"/>
        <v>#DIV/0!</v>
      </c>
      <c r="J61" s="127">
        <f t="shared" si="5"/>
        <v>0</v>
      </c>
      <c r="K61" s="127">
        <f t="shared" si="6"/>
        <v>0</v>
      </c>
      <c r="L61" s="7">
        <f t="shared" si="7"/>
        <v>0</v>
      </c>
      <c r="M61" s="7">
        <f t="shared" si="8"/>
        <v>0</v>
      </c>
      <c r="N61" s="7">
        <f t="shared" si="9"/>
        <v>0</v>
      </c>
      <c r="O61" s="7">
        <f t="shared" si="10"/>
        <v>0</v>
      </c>
    </row>
    <row r="62" spans="1:15" x14ac:dyDescent="0.2">
      <c r="A62">
        <f t="shared" si="3"/>
        <v>58</v>
      </c>
      <c r="B62" s="7">
        <f t="shared" si="4"/>
        <v>0</v>
      </c>
      <c r="C62" s="7">
        <f t="shared" si="0"/>
        <v>0</v>
      </c>
      <c r="D62" s="7">
        <f t="shared" si="1"/>
        <v>0</v>
      </c>
      <c r="E62" s="7">
        <f>SUM(C$5:C62)</f>
        <v>0</v>
      </c>
      <c r="F62" s="7">
        <f>SUM(D$5:D62)</f>
        <v>0</v>
      </c>
      <c r="G62" s="7">
        <f>$D$1-'Amort Schedule - Flip'!F62</f>
        <v>0</v>
      </c>
      <c r="H62" s="11" t="e">
        <f t="shared" si="2"/>
        <v>#DIV/0!</v>
      </c>
      <c r="J62" s="127">
        <f t="shared" si="5"/>
        <v>0</v>
      </c>
      <c r="K62" s="127">
        <f t="shared" si="6"/>
        <v>0</v>
      </c>
      <c r="L62" s="7">
        <f t="shared" si="7"/>
        <v>0</v>
      </c>
      <c r="M62" s="7">
        <f t="shared" si="8"/>
        <v>0</v>
      </c>
      <c r="N62" s="7">
        <f t="shared" si="9"/>
        <v>0</v>
      </c>
      <c r="O62" s="7">
        <f t="shared" si="10"/>
        <v>0</v>
      </c>
    </row>
    <row r="63" spans="1:15" x14ac:dyDescent="0.2">
      <c r="A63">
        <f t="shared" si="3"/>
        <v>59</v>
      </c>
      <c r="B63" s="7">
        <f t="shared" si="4"/>
        <v>0</v>
      </c>
      <c r="C63" s="7">
        <f t="shared" si="0"/>
        <v>0</v>
      </c>
      <c r="D63" s="7">
        <f t="shared" si="1"/>
        <v>0</v>
      </c>
      <c r="E63" s="7">
        <f>SUM(C$5:C63)</f>
        <v>0</v>
      </c>
      <c r="F63" s="7">
        <f>SUM(D$5:D63)</f>
        <v>0</v>
      </c>
      <c r="G63" s="7">
        <f>$D$1-'Amort Schedule - Flip'!F63</f>
        <v>0</v>
      </c>
      <c r="H63" s="11" t="e">
        <f t="shared" si="2"/>
        <v>#DIV/0!</v>
      </c>
      <c r="J63" s="127">
        <f t="shared" si="5"/>
        <v>0</v>
      </c>
      <c r="K63" s="127">
        <f t="shared" si="6"/>
        <v>0</v>
      </c>
      <c r="L63" s="7">
        <f t="shared" si="7"/>
        <v>0</v>
      </c>
      <c r="M63" s="7">
        <f t="shared" si="8"/>
        <v>0</v>
      </c>
      <c r="N63" s="7">
        <f t="shared" si="9"/>
        <v>0</v>
      </c>
      <c r="O63" s="7">
        <f t="shared" si="10"/>
        <v>0</v>
      </c>
    </row>
    <row r="64" spans="1:15" s="6" customFormat="1" x14ac:dyDescent="0.2">
      <c r="A64" s="6">
        <f t="shared" si="3"/>
        <v>60</v>
      </c>
      <c r="B64" s="128">
        <f t="shared" si="4"/>
        <v>0</v>
      </c>
      <c r="C64" s="128">
        <f t="shared" si="0"/>
        <v>0</v>
      </c>
      <c r="D64" s="128">
        <f t="shared" si="1"/>
        <v>0</v>
      </c>
      <c r="E64" s="128">
        <f>SUM(C$5:C64)</f>
        <v>0</v>
      </c>
      <c r="F64" s="128">
        <f>SUM(D$5:D64)</f>
        <v>0</v>
      </c>
      <c r="G64" s="128">
        <f>$D$1-'Amort Schedule - Flip'!F64</f>
        <v>0</v>
      </c>
      <c r="H64" s="124" t="e">
        <f t="shared" si="2"/>
        <v>#DIV/0!</v>
      </c>
      <c r="J64" s="131">
        <f t="shared" si="5"/>
        <v>0</v>
      </c>
      <c r="K64" s="131">
        <f t="shared" si="6"/>
        <v>0</v>
      </c>
      <c r="L64" s="128">
        <f t="shared" si="7"/>
        <v>0</v>
      </c>
      <c r="M64" s="128">
        <f t="shared" si="8"/>
        <v>0</v>
      </c>
      <c r="N64" s="128">
        <f t="shared" si="9"/>
        <v>0</v>
      </c>
      <c r="O64" s="128">
        <f t="shared" si="10"/>
        <v>0</v>
      </c>
    </row>
    <row r="65" spans="1:15" x14ac:dyDescent="0.2">
      <c r="A65">
        <f t="shared" si="3"/>
        <v>61</v>
      </c>
      <c r="B65" s="7">
        <f t="shared" si="4"/>
        <v>0</v>
      </c>
      <c r="C65" s="7">
        <f t="shared" si="0"/>
        <v>0</v>
      </c>
      <c r="D65" s="7">
        <f t="shared" si="1"/>
        <v>0</v>
      </c>
      <c r="E65" s="7">
        <f>SUM(C$5:C65)</f>
        <v>0</v>
      </c>
      <c r="F65" s="7">
        <f>SUM(D$5:D65)</f>
        <v>0</v>
      </c>
      <c r="G65" s="7">
        <f>$D$1-'Amort Schedule - Flip'!F65</f>
        <v>0</v>
      </c>
      <c r="H65" s="11" t="e">
        <f t="shared" si="2"/>
        <v>#DIV/0!</v>
      </c>
      <c r="J65" s="127">
        <f t="shared" si="5"/>
        <v>0</v>
      </c>
      <c r="K65" s="127">
        <f t="shared" si="6"/>
        <v>0</v>
      </c>
      <c r="L65" s="7">
        <f t="shared" si="7"/>
        <v>0</v>
      </c>
      <c r="M65" s="7">
        <f t="shared" si="8"/>
        <v>0</v>
      </c>
      <c r="N65" s="7">
        <f t="shared" si="9"/>
        <v>0</v>
      </c>
      <c r="O65" s="7">
        <f t="shared" si="10"/>
        <v>0</v>
      </c>
    </row>
    <row r="66" spans="1:15" x14ac:dyDescent="0.2">
      <c r="A66">
        <f t="shared" si="3"/>
        <v>62</v>
      </c>
      <c r="B66" s="7">
        <f t="shared" si="4"/>
        <v>0</v>
      </c>
      <c r="C66" s="7">
        <f t="shared" si="0"/>
        <v>0</v>
      </c>
      <c r="D66" s="7">
        <f t="shared" si="1"/>
        <v>0</v>
      </c>
      <c r="E66" s="7">
        <f>SUM(C$5:C66)</f>
        <v>0</v>
      </c>
      <c r="F66" s="7">
        <f>SUM(D$5:D66)</f>
        <v>0</v>
      </c>
      <c r="G66" s="7">
        <f>$D$1-'Amort Schedule - Flip'!F66</f>
        <v>0</v>
      </c>
      <c r="H66" s="11" t="e">
        <f t="shared" si="2"/>
        <v>#DIV/0!</v>
      </c>
      <c r="J66" s="127">
        <f t="shared" si="5"/>
        <v>0</v>
      </c>
      <c r="K66" s="127">
        <f t="shared" si="6"/>
        <v>0</v>
      </c>
      <c r="L66" s="7">
        <f t="shared" si="7"/>
        <v>0</v>
      </c>
      <c r="M66" s="7">
        <f t="shared" si="8"/>
        <v>0</v>
      </c>
      <c r="N66" s="7">
        <f t="shared" si="9"/>
        <v>0</v>
      </c>
      <c r="O66" s="7">
        <f t="shared" si="10"/>
        <v>0</v>
      </c>
    </row>
    <row r="67" spans="1:15" x14ac:dyDescent="0.2">
      <c r="A67">
        <f t="shared" si="3"/>
        <v>63</v>
      </c>
      <c r="B67" s="7">
        <f t="shared" si="4"/>
        <v>0</v>
      </c>
      <c r="C67" s="7">
        <f t="shared" si="0"/>
        <v>0</v>
      </c>
      <c r="D67" s="7">
        <f t="shared" si="1"/>
        <v>0</v>
      </c>
      <c r="E67" s="7">
        <f>SUM(C$5:C67)</f>
        <v>0</v>
      </c>
      <c r="F67" s="7">
        <f>SUM(D$5:D67)</f>
        <v>0</v>
      </c>
      <c r="G67" s="7">
        <f>$D$1-'Amort Schedule - Flip'!F67</f>
        <v>0</v>
      </c>
      <c r="H67" s="11" t="e">
        <f t="shared" si="2"/>
        <v>#DIV/0!</v>
      </c>
      <c r="J67" s="127">
        <f t="shared" si="5"/>
        <v>0</v>
      </c>
      <c r="K67" s="127">
        <f t="shared" si="6"/>
        <v>0</v>
      </c>
      <c r="L67" s="7">
        <f t="shared" si="7"/>
        <v>0</v>
      </c>
      <c r="M67" s="7">
        <f t="shared" si="8"/>
        <v>0</v>
      </c>
      <c r="N67" s="7">
        <f t="shared" si="9"/>
        <v>0</v>
      </c>
      <c r="O67" s="7">
        <f t="shared" si="10"/>
        <v>0</v>
      </c>
    </row>
    <row r="68" spans="1:15" x14ac:dyDescent="0.2">
      <c r="A68">
        <f t="shared" si="3"/>
        <v>64</v>
      </c>
      <c r="B68" s="7">
        <f t="shared" si="4"/>
        <v>0</v>
      </c>
      <c r="C68" s="7">
        <f t="shared" si="0"/>
        <v>0</v>
      </c>
      <c r="D68" s="7">
        <f t="shared" si="1"/>
        <v>0</v>
      </c>
      <c r="E68" s="7">
        <f>SUM(C$5:C68)</f>
        <v>0</v>
      </c>
      <c r="F68" s="7">
        <f>SUM(D$5:D68)</f>
        <v>0</v>
      </c>
      <c r="G68" s="7">
        <f>$D$1-'Amort Schedule - Flip'!F68</f>
        <v>0</v>
      </c>
      <c r="H68" s="11" t="e">
        <f t="shared" si="2"/>
        <v>#DIV/0!</v>
      </c>
      <c r="J68" s="127">
        <f t="shared" si="5"/>
        <v>0</v>
      </c>
      <c r="K68" s="127">
        <f t="shared" si="6"/>
        <v>0</v>
      </c>
      <c r="L68" s="7">
        <f t="shared" si="7"/>
        <v>0</v>
      </c>
      <c r="M68" s="7">
        <f t="shared" si="8"/>
        <v>0</v>
      </c>
      <c r="N68" s="7">
        <f t="shared" si="9"/>
        <v>0</v>
      </c>
      <c r="O68" s="7">
        <f t="shared" si="10"/>
        <v>0</v>
      </c>
    </row>
    <row r="69" spans="1:15" x14ac:dyDescent="0.2">
      <c r="A69">
        <f t="shared" si="3"/>
        <v>65</v>
      </c>
      <c r="B69" s="7">
        <f t="shared" si="4"/>
        <v>0</v>
      </c>
      <c r="C69" s="7">
        <f t="shared" si="0"/>
        <v>0</v>
      </c>
      <c r="D69" s="7">
        <f t="shared" si="1"/>
        <v>0</v>
      </c>
      <c r="E69" s="7">
        <f>SUM(C$5:C69)</f>
        <v>0</v>
      </c>
      <c r="F69" s="7">
        <f>SUM(D$5:D69)</f>
        <v>0</v>
      </c>
      <c r="G69" s="7">
        <f>$D$1-'Amort Schedule - Flip'!F69</f>
        <v>0</v>
      </c>
      <c r="H69" s="11" t="e">
        <f t="shared" si="2"/>
        <v>#DIV/0!</v>
      </c>
      <c r="J69" s="127">
        <f t="shared" si="5"/>
        <v>0</v>
      </c>
      <c r="K69" s="127">
        <f t="shared" si="6"/>
        <v>0</v>
      </c>
      <c r="L69" s="7">
        <f t="shared" si="7"/>
        <v>0</v>
      </c>
      <c r="M69" s="7">
        <f t="shared" si="8"/>
        <v>0</v>
      </c>
      <c r="N69" s="7">
        <f t="shared" si="9"/>
        <v>0</v>
      </c>
      <c r="O69" s="7">
        <f t="shared" si="10"/>
        <v>0</v>
      </c>
    </row>
    <row r="70" spans="1:15" x14ac:dyDescent="0.2">
      <c r="A70">
        <f t="shared" si="3"/>
        <v>66</v>
      </c>
      <c r="B70" s="7">
        <f t="shared" si="4"/>
        <v>0</v>
      </c>
      <c r="C70" s="7">
        <f t="shared" ref="C70:C133" si="11">-IPMT($D$2/12,A70,$D$3,$D$1)</f>
        <v>0</v>
      </c>
      <c r="D70" s="7">
        <f t="shared" ref="D70:D133" si="12">-PPMT($D$2/12,A70,$D$3,$D$1)</f>
        <v>0</v>
      </c>
      <c r="E70" s="7">
        <f>SUM(C$5:C70)</f>
        <v>0</v>
      </c>
      <c r="F70" s="7">
        <f>SUM(D$5:D70)</f>
        <v>0</v>
      </c>
      <c r="G70" s="7">
        <f>$D$1-'Amort Schedule - Flip'!F70</f>
        <v>0</v>
      </c>
      <c r="H70" s="11" t="e">
        <f t="shared" ref="H70:H133" si="13">G70/$D$1</f>
        <v>#DIV/0!</v>
      </c>
      <c r="J70" s="127">
        <f t="shared" si="5"/>
        <v>0</v>
      </c>
      <c r="K70" s="127">
        <f t="shared" si="6"/>
        <v>0</v>
      </c>
      <c r="L70" s="7">
        <f t="shared" si="7"/>
        <v>0</v>
      </c>
      <c r="M70" s="7">
        <f t="shared" si="8"/>
        <v>0</v>
      </c>
      <c r="N70" s="7">
        <f t="shared" si="9"/>
        <v>0</v>
      </c>
      <c r="O70" s="7">
        <f t="shared" si="10"/>
        <v>0</v>
      </c>
    </row>
    <row r="71" spans="1:15" x14ac:dyDescent="0.2">
      <c r="A71">
        <f t="shared" ref="A71:A134" si="14">A70+1</f>
        <v>67</v>
      </c>
      <c r="B71" s="7">
        <f t="shared" ref="B71:B134" si="15">B70</f>
        <v>0</v>
      </c>
      <c r="C71" s="7">
        <f t="shared" si="11"/>
        <v>0</v>
      </c>
      <c r="D71" s="7">
        <f t="shared" si="12"/>
        <v>0</v>
      </c>
      <c r="E71" s="7">
        <f>SUM(C$5:C71)</f>
        <v>0</v>
      </c>
      <c r="F71" s="7">
        <f>SUM(D$5:D71)</f>
        <v>0</v>
      </c>
      <c r="G71" s="7">
        <f>$D$1-'Amort Schedule - Flip'!F71</f>
        <v>0</v>
      </c>
      <c r="H71" s="11" t="e">
        <f t="shared" si="13"/>
        <v>#DIV/0!</v>
      </c>
      <c r="J71" s="127">
        <f t="shared" ref="J71:J134" si="16">J70</f>
        <v>0</v>
      </c>
      <c r="K71" s="127">
        <f t="shared" ref="K71:K134" si="17">J71+K70</f>
        <v>0</v>
      </c>
      <c r="L71" s="7">
        <f t="shared" ref="L71:L134" si="18">B71-J71</f>
        <v>0</v>
      </c>
      <c r="M71" s="7">
        <f t="shared" ref="M71:M134" si="19">M70+L71</f>
        <v>0</v>
      </c>
      <c r="N71" s="7">
        <f t="shared" ref="N71:N134" si="20">C71-J71</f>
        <v>0</v>
      </c>
      <c r="O71" s="7">
        <f t="shared" ref="O71:O134" si="21">O70+N71</f>
        <v>0</v>
      </c>
    </row>
    <row r="72" spans="1:15" x14ac:dyDescent="0.2">
      <c r="A72">
        <f t="shared" si="14"/>
        <v>68</v>
      </c>
      <c r="B72" s="7">
        <f t="shared" si="15"/>
        <v>0</v>
      </c>
      <c r="C72" s="7">
        <f t="shared" si="11"/>
        <v>0</v>
      </c>
      <c r="D72" s="7">
        <f t="shared" si="12"/>
        <v>0</v>
      </c>
      <c r="E72" s="7">
        <f>SUM(C$5:C72)</f>
        <v>0</v>
      </c>
      <c r="F72" s="7">
        <f>SUM(D$5:D72)</f>
        <v>0</v>
      </c>
      <c r="G72" s="7">
        <f>$D$1-'Amort Schedule - Flip'!F72</f>
        <v>0</v>
      </c>
      <c r="H72" s="11" t="e">
        <f t="shared" si="13"/>
        <v>#DIV/0!</v>
      </c>
      <c r="J72" s="127">
        <f t="shared" si="16"/>
        <v>0</v>
      </c>
      <c r="K72" s="127">
        <f t="shared" si="17"/>
        <v>0</v>
      </c>
      <c r="L72" s="7">
        <f t="shared" si="18"/>
        <v>0</v>
      </c>
      <c r="M72" s="7">
        <f t="shared" si="19"/>
        <v>0</v>
      </c>
      <c r="N72" s="7">
        <f t="shared" si="20"/>
        <v>0</v>
      </c>
      <c r="O72" s="7">
        <f t="shared" si="21"/>
        <v>0</v>
      </c>
    </row>
    <row r="73" spans="1:15" x14ac:dyDescent="0.2">
      <c r="A73">
        <f t="shared" si="14"/>
        <v>69</v>
      </c>
      <c r="B73" s="7">
        <f t="shared" si="15"/>
        <v>0</v>
      </c>
      <c r="C73" s="7">
        <f t="shared" si="11"/>
        <v>0</v>
      </c>
      <c r="D73" s="7">
        <f t="shared" si="12"/>
        <v>0</v>
      </c>
      <c r="E73" s="7">
        <f>SUM(C$5:C73)</f>
        <v>0</v>
      </c>
      <c r="F73" s="7">
        <f>SUM(D$5:D73)</f>
        <v>0</v>
      </c>
      <c r="G73" s="7">
        <f>$D$1-'Amort Schedule - Flip'!F73</f>
        <v>0</v>
      </c>
      <c r="H73" s="11" t="e">
        <f t="shared" si="13"/>
        <v>#DIV/0!</v>
      </c>
      <c r="J73" s="127">
        <f t="shared" si="16"/>
        <v>0</v>
      </c>
      <c r="K73" s="127">
        <f t="shared" si="17"/>
        <v>0</v>
      </c>
      <c r="L73" s="7">
        <f t="shared" si="18"/>
        <v>0</v>
      </c>
      <c r="M73" s="7">
        <f t="shared" si="19"/>
        <v>0</v>
      </c>
      <c r="N73" s="7">
        <f t="shared" si="20"/>
        <v>0</v>
      </c>
      <c r="O73" s="7">
        <f t="shared" si="21"/>
        <v>0</v>
      </c>
    </row>
    <row r="74" spans="1:15" x14ac:dyDescent="0.2">
      <c r="A74">
        <f t="shared" si="14"/>
        <v>70</v>
      </c>
      <c r="B74" s="7">
        <f t="shared" si="15"/>
        <v>0</v>
      </c>
      <c r="C74" s="7">
        <f t="shared" si="11"/>
        <v>0</v>
      </c>
      <c r="D74" s="7">
        <f t="shared" si="12"/>
        <v>0</v>
      </c>
      <c r="E74" s="7">
        <f>SUM(C$5:C74)</f>
        <v>0</v>
      </c>
      <c r="F74" s="7">
        <f>SUM(D$5:D74)</f>
        <v>0</v>
      </c>
      <c r="G74" s="7">
        <f>$D$1-'Amort Schedule - Flip'!F74</f>
        <v>0</v>
      </c>
      <c r="H74" s="11" t="e">
        <f t="shared" si="13"/>
        <v>#DIV/0!</v>
      </c>
      <c r="J74" s="127">
        <f t="shared" si="16"/>
        <v>0</v>
      </c>
      <c r="K74" s="127">
        <f t="shared" si="17"/>
        <v>0</v>
      </c>
      <c r="L74" s="7">
        <f t="shared" si="18"/>
        <v>0</v>
      </c>
      <c r="M74" s="7">
        <f t="shared" si="19"/>
        <v>0</v>
      </c>
      <c r="N74" s="7">
        <f t="shared" si="20"/>
        <v>0</v>
      </c>
      <c r="O74" s="7">
        <f t="shared" si="21"/>
        <v>0</v>
      </c>
    </row>
    <row r="75" spans="1:15" x14ac:dyDescent="0.2">
      <c r="A75">
        <f t="shared" si="14"/>
        <v>71</v>
      </c>
      <c r="B75" s="7">
        <f t="shared" si="15"/>
        <v>0</v>
      </c>
      <c r="C75" s="7">
        <f t="shared" si="11"/>
        <v>0</v>
      </c>
      <c r="D75" s="7">
        <f t="shared" si="12"/>
        <v>0</v>
      </c>
      <c r="E75" s="7">
        <f>SUM(C$5:C75)</f>
        <v>0</v>
      </c>
      <c r="F75" s="7">
        <f>SUM(D$5:D75)</f>
        <v>0</v>
      </c>
      <c r="G75" s="7">
        <f>$D$1-'Amort Schedule - Flip'!F75</f>
        <v>0</v>
      </c>
      <c r="H75" s="11" t="e">
        <f t="shared" si="13"/>
        <v>#DIV/0!</v>
      </c>
      <c r="J75" s="127">
        <f t="shared" si="16"/>
        <v>0</v>
      </c>
      <c r="K75" s="127">
        <f t="shared" si="17"/>
        <v>0</v>
      </c>
      <c r="L75" s="7">
        <f t="shared" si="18"/>
        <v>0</v>
      </c>
      <c r="M75" s="7">
        <f t="shared" si="19"/>
        <v>0</v>
      </c>
      <c r="N75" s="7">
        <f t="shared" si="20"/>
        <v>0</v>
      </c>
      <c r="O75" s="7">
        <f t="shared" si="21"/>
        <v>0</v>
      </c>
    </row>
    <row r="76" spans="1:15" s="6" customFormat="1" x14ac:dyDescent="0.2">
      <c r="A76" s="6">
        <f t="shared" si="14"/>
        <v>72</v>
      </c>
      <c r="B76" s="128">
        <f t="shared" si="15"/>
        <v>0</v>
      </c>
      <c r="C76" s="128">
        <f t="shared" si="11"/>
        <v>0</v>
      </c>
      <c r="D76" s="128">
        <f t="shared" si="12"/>
        <v>0</v>
      </c>
      <c r="E76" s="128">
        <f>SUM(C$5:C76)</f>
        <v>0</v>
      </c>
      <c r="F76" s="128">
        <f>SUM(D$5:D76)</f>
        <v>0</v>
      </c>
      <c r="G76" s="128">
        <f>$D$1-'Amort Schedule - Flip'!F76</f>
        <v>0</v>
      </c>
      <c r="H76" s="124" t="e">
        <f t="shared" si="13"/>
        <v>#DIV/0!</v>
      </c>
      <c r="J76" s="131">
        <f t="shared" si="16"/>
        <v>0</v>
      </c>
      <c r="K76" s="131">
        <f t="shared" si="17"/>
        <v>0</v>
      </c>
      <c r="L76" s="128">
        <f t="shared" si="18"/>
        <v>0</v>
      </c>
      <c r="M76" s="128">
        <f t="shared" si="19"/>
        <v>0</v>
      </c>
      <c r="N76" s="128">
        <f t="shared" si="20"/>
        <v>0</v>
      </c>
      <c r="O76" s="128">
        <f t="shared" si="21"/>
        <v>0</v>
      </c>
    </row>
    <row r="77" spans="1:15" x14ac:dyDescent="0.2">
      <c r="A77">
        <f t="shared" si="14"/>
        <v>73</v>
      </c>
      <c r="B77" s="7">
        <f t="shared" si="15"/>
        <v>0</v>
      </c>
      <c r="C77" s="7">
        <f t="shared" si="11"/>
        <v>0</v>
      </c>
      <c r="D77" s="7">
        <f t="shared" si="12"/>
        <v>0</v>
      </c>
      <c r="E77" s="7">
        <f>SUM(C$5:C77)</f>
        <v>0</v>
      </c>
      <c r="F77" s="7">
        <f>SUM(D$5:D77)</f>
        <v>0</v>
      </c>
      <c r="G77" s="7">
        <f>$D$1-'Amort Schedule - Flip'!F77</f>
        <v>0</v>
      </c>
      <c r="H77" s="11" t="e">
        <f t="shared" si="13"/>
        <v>#DIV/0!</v>
      </c>
      <c r="J77" s="127">
        <f t="shared" si="16"/>
        <v>0</v>
      </c>
      <c r="K77" s="127">
        <f t="shared" si="17"/>
        <v>0</v>
      </c>
      <c r="L77" s="7">
        <f t="shared" si="18"/>
        <v>0</v>
      </c>
      <c r="M77" s="7">
        <f t="shared" si="19"/>
        <v>0</v>
      </c>
      <c r="N77" s="7">
        <f t="shared" si="20"/>
        <v>0</v>
      </c>
      <c r="O77" s="7">
        <f t="shared" si="21"/>
        <v>0</v>
      </c>
    </row>
    <row r="78" spans="1:15" x14ac:dyDescent="0.2">
      <c r="A78">
        <f t="shared" si="14"/>
        <v>74</v>
      </c>
      <c r="B78" s="7">
        <f t="shared" si="15"/>
        <v>0</v>
      </c>
      <c r="C78" s="7">
        <f t="shared" si="11"/>
        <v>0</v>
      </c>
      <c r="D78" s="7">
        <f t="shared" si="12"/>
        <v>0</v>
      </c>
      <c r="E78" s="7">
        <f>SUM(C$5:C78)</f>
        <v>0</v>
      </c>
      <c r="F78" s="7">
        <f>SUM(D$5:D78)</f>
        <v>0</v>
      </c>
      <c r="G78" s="7">
        <f>$D$1-'Amort Schedule - Flip'!F78</f>
        <v>0</v>
      </c>
      <c r="H78" s="11" t="e">
        <f t="shared" si="13"/>
        <v>#DIV/0!</v>
      </c>
      <c r="J78" s="127">
        <f t="shared" si="16"/>
        <v>0</v>
      </c>
      <c r="K78" s="127">
        <f t="shared" si="17"/>
        <v>0</v>
      </c>
      <c r="L78" s="7">
        <f t="shared" si="18"/>
        <v>0</v>
      </c>
      <c r="M78" s="7">
        <f t="shared" si="19"/>
        <v>0</v>
      </c>
      <c r="N78" s="7">
        <f t="shared" si="20"/>
        <v>0</v>
      </c>
      <c r="O78" s="7">
        <f t="shared" si="21"/>
        <v>0</v>
      </c>
    </row>
    <row r="79" spans="1:15" x14ac:dyDescent="0.2">
      <c r="A79">
        <f t="shared" si="14"/>
        <v>75</v>
      </c>
      <c r="B79" s="7">
        <f t="shared" si="15"/>
        <v>0</v>
      </c>
      <c r="C79" s="7">
        <f t="shared" si="11"/>
        <v>0</v>
      </c>
      <c r="D79" s="7">
        <f t="shared" si="12"/>
        <v>0</v>
      </c>
      <c r="E79" s="7">
        <f>SUM(C$5:C79)</f>
        <v>0</v>
      </c>
      <c r="F79" s="7">
        <f>SUM(D$5:D79)</f>
        <v>0</v>
      </c>
      <c r="G79" s="7">
        <f>$D$1-'Amort Schedule - Flip'!F79</f>
        <v>0</v>
      </c>
      <c r="H79" s="11" t="e">
        <f t="shared" si="13"/>
        <v>#DIV/0!</v>
      </c>
      <c r="J79" s="127">
        <f t="shared" si="16"/>
        <v>0</v>
      </c>
      <c r="K79" s="127">
        <f t="shared" si="17"/>
        <v>0</v>
      </c>
      <c r="L79" s="7">
        <f t="shared" si="18"/>
        <v>0</v>
      </c>
      <c r="M79" s="7">
        <f t="shared" si="19"/>
        <v>0</v>
      </c>
      <c r="N79" s="7">
        <f t="shared" si="20"/>
        <v>0</v>
      </c>
      <c r="O79" s="7">
        <f t="shared" si="21"/>
        <v>0</v>
      </c>
    </row>
    <row r="80" spans="1:15" x14ac:dyDescent="0.2">
      <c r="A80">
        <f t="shared" si="14"/>
        <v>76</v>
      </c>
      <c r="B80" s="7">
        <f t="shared" si="15"/>
        <v>0</v>
      </c>
      <c r="C80" s="7">
        <f t="shared" si="11"/>
        <v>0</v>
      </c>
      <c r="D80" s="7">
        <f t="shared" si="12"/>
        <v>0</v>
      </c>
      <c r="E80" s="7">
        <f>SUM(C$5:C80)</f>
        <v>0</v>
      </c>
      <c r="F80" s="7">
        <f>SUM(D$5:D80)</f>
        <v>0</v>
      </c>
      <c r="G80" s="7">
        <f>$D$1-'Amort Schedule - Flip'!F80</f>
        <v>0</v>
      </c>
      <c r="H80" s="11" t="e">
        <f t="shared" si="13"/>
        <v>#DIV/0!</v>
      </c>
      <c r="J80" s="127">
        <f t="shared" si="16"/>
        <v>0</v>
      </c>
      <c r="K80" s="127">
        <f t="shared" si="17"/>
        <v>0</v>
      </c>
      <c r="L80" s="7">
        <f t="shared" si="18"/>
        <v>0</v>
      </c>
      <c r="M80" s="7">
        <f t="shared" si="19"/>
        <v>0</v>
      </c>
      <c r="N80" s="7">
        <f t="shared" si="20"/>
        <v>0</v>
      </c>
      <c r="O80" s="7">
        <f t="shared" si="21"/>
        <v>0</v>
      </c>
    </row>
    <row r="81" spans="1:15" x14ac:dyDescent="0.2">
      <c r="A81">
        <f t="shared" si="14"/>
        <v>77</v>
      </c>
      <c r="B81" s="7">
        <f t="shared" si="15"/>
        <v>0</v>
      </c>
      <c r="C81" s="7">
        <f t="shared" si="11"/>
        <v>0</v>
      </c>
      <c r="D81" s="7">
        <f t="shared" si="12"/>
        <v>0</v>
      </c>
      <c r="E81" s="7">
        <f>SUM(C$5:C81)</f>
        <v>0</v>
      </c>
      <c r="F81" s="7">
        <f>SUM(D$5:D81)</f>
        <v>0</v>
      </c>
      <c r="G81" s="7">
        <f>$D$1-'Amort Schedule - Flip'!F81</f>
        <v>0</v>
      </c>
      <c r="H81" s="11" t="e">
        <f t="shared" si="13"/>
        <v>#DIV/0!</v>
      </c>
      <c r="J81" s="127">
        <f t="shared" si="16"/>
        <v>0</v>
      </c>
      <c r="K81" s="127">
        <f t="shared" si="17"/>
        <v>0</v>
      </c>
      <c r="L81" s="7">
        <f t="shared" si="18"/>
        <v>0</v>
      </c>
      <c r="M81" s="7">
        <f t="shared" si="19"/>
        <v>0</v>
      </c>
      <c r="N81" s="7">
        <f t="shared" si="20"/>
        <v>0</v>
      </c>
      <c r="O81" s="7">
        <f t="shared" si="21"/>
        <v>0</v>
      </c>
    </row>
    <row r="82" spans="1:15" x14ac:dyDescent="0.2">
      <c r="A82">
        <f t="shared" si="14"/>
        <v>78</v>
      </c>
      <c r="B82" s="7">
        <f t="shared" si="15"/>
        <v>0</v>
      </c>
      <c r="C82" s="7">
        <f t="shared" si="11"/>
        <v>0</v>
      </c>
      <c r="D82" s="7">
        <f t="shared" si="12"/>
        <v>0</v>
      </c>
      <c r="E82" s="7">
        <f>SUM(C$5:C82)</f>
        <v>0</v>
      </c>
      <c r="F82" s="7">
        <f>SUM(D$5:D82)</f>
        <v>0</v>
      </c>
      <c r="G82" s="7">
        <f>$D$1-'Amort Schedule - Flip'!F82</f>
        <v>0</v>
      </c>
      <c r="H82" s="11" t="e">
        <f t="shared" si="13"/>
        <v>#DIV/0!</v>
      </c>
      <c r="J82" s="127">
        <f t="shared" si="16"/>
        <v>0</v>
      </c>
      <c r="K82" s="127">
        <f t="shared" si="17"/>
        <v>0</v>
      </c>
      <c r="L82" s="7">
        <f t="shared" si="18"/>
        <v>0</v>
      </c>
      <c r="M82" s="7">
        <f t="shared" si="19"/>
        <v>0</v>
      </c>
      <c r="N82" s="7">
        <f t="shared" si="20"/>
        <v>0</v>
      </c>
      <c r="O82" s="7">
        <f t="shared" si="21"/>
        <v>0</v>
      </c>
    </row>
    <row r="83" spans="1:15" x14ac:dyDescent="0.2">
      <c r="A83">
        <f t="shared" si="14"/>
        <v>79</v>
      </c>
      <c r="B83" s="7">
        <f t="shared" si="15"/>
        <v>0</v>
      </c>
      <c r="C83" s="7">
        <f t="shared" si="11"/>
        <v>0</v>
      </c>
      <c r="D83" s="7">
        <f t="shared" si="12"/>
        <v>0</v>
      </c>
      <c r="E83" s="7">
        <f>SUM(C$5:C83)</f>
        <v>0</v>
      </c>
      <c r="F83" s="7">
        <f>SUM(D$5:D83)</f>
        <v>0</v>
      </c>
      <c r="G83" s="7">
        <f>$D$1-'Amort Schedule - Flip'!F83</f>
        <v>0</v>
      </c>
      <c r="H83" s="11" t="e">
        <f t="shared" si="13"/>
        <v>#DIV/0!</v>
      </c>
      <c r="J83" s="127">
        <f t="shared" si="16"/>
        <v>0</v>
      </c>
      <c r="K83" s="127">
        <f t="shared" si="17"/>
        <v>0</v>
      </c>
      <c r="L83" s="7">
        <f t="shared" si="18"/>
        <v>0</v>
      </c>
      <c r="M83" s="7">
        <f t="shared" si="19"/>
        <v>0</v>
      </c>
      <c r="N83" s="7">
        <f t="shared" si="20"/>
        <v>0</v>
      </c>
      <c r="O83" s="7">
        <f t="shared" si="21"/>
        <v>0</v>
      </c>
    </row>
    <row r="84" spans="1:15" x14ac:dyDescent="0.2">
      <c r="A84">
        <f t="shared" si="14"/>
        <v>80</v>
      </c>
      <c r="B84" s="7">
        <f t="shared" si="15"/>
        <v>0</v>
      </c>
      <c r="C84" s="7">
        <f t="shared" si="11"/>
        <v>0</v>
      </c>
      <c r="D84" s="7">
        <f t="shared" si="12"/>
        <v>0</v>
      </c>
      <c r="E84" s="7">
        <f>SUM(C$5:C84)</f>
        <v>0</v>
      </c>
      <c r="F84" s="7">
        <f>SUM(D$5:D84)</f>
        <v>0</v>
      </c>
      <c r="G84" s="7">
        <f>$D$1-'Amort Schedule - Flip'!F84</f>
        <v>0</v>
      </c>
      <c r="H84" s="11" t="e">
        <f t="shared" si="13"/>
        <v>#DIV/0!</v>
      </c>
      <c r="J84" s="127">
        <f t="shared" si="16"/>
        <v>0</v>
      </c>
      <c r="K84" s="127">
        <f t="shared" si="17"/>
        <v>0</v>
      </c>
      <c r="L84" s="7">
        <f t="shared" si="18"/>
        <v>0</v>
      </c>
      <c r="M84" s="7">
        <f t="shared" si="19"/>
        <v>0</v>
      </c>
      <c r="N84" s="7">
        <f t="shared" si="20"/>
        <v>0</v>
      </c>
      <c r="O84" s="7">
        <f t="shared" si="21"/>
        <v>0</v>
      </c>
    </row>
    <row r="85" spans="1:15" x14ac:dyDescent="0.2">
      <c r="A85">
        <f t="shared" si="14"/>
        <v>81</v>
      </c>
      <c r="B85" s="7">
        <f t="shared" si="15"/>
        <v>0</v>
      </c>
      <c r="C85" s="7">
        <f t="shared" si="11"/>
        <v>0</v>
      </c>
      <c r="D85" s="7">
        <f t="shared" si="12"/>
        <v>0</v>
      </c>
      <c r="E85" s="7">
        <f>SUM(C$5:C85)</f>
        <v>0</v>
      </c>
      <c r="F85" s="7">
        <f>SUM(D$5:D85)</f>
        <v>0</v>
      </c>
      <c r="G85" s="7">
        <f>$D$1-'Amort Schedule - Flip'!F85</f>
        <v>0</v>
      </c>
      <c r="H85" s="11" t="e">
        <f t="shared" si="13"/>
        <v>#DIV/0!</v>
      </c>
      <c r="J85" s="127">
        <f t="shared" si="16"/>
        <v>0</v>
      </c>
      <c r="K85" s="127">
        <f t="shared" si="17"/>
        <v>0</v>
      </c>
      <c r="L85" s="7">
        <f t="shared" si="18"/>
        <v>0</v>
      </c>
      <c r="M85" s="7">
        <f t="shared" si="19"/>
        <v>0</v>
      </c>
      <c r="N85" s="7">
        <f t="shared" si="20"/>
        <v>0</v>
      </c>
      <c r="O85" s="7">
        <f t="shared" si="21"/>
        <v>0</v>
      </c>
    </row>
    <row r="86" spans="1:15" x14ac:dyDescent="0.2">
      <c r="A86">
        <f t="shared" si="14"/>
        <v>82</v>
      </c>
      <c r="B86" s="7">
        <f t="shared" si="15"/>
        <v>0</v>
      </c>
      <c r="C86" s="7">
        <f t="shared" si="11"/>
        <v>0</v>
      </c>
      <c r="D86" s="7">
        <f t="shared" si="12"/>
        <v>0</v>
      </c>
      <c r="E86" s="7">
        <f>SUM(C$5:C86)</f>
        <v>0</v>
      </c>
      <c r="F86" s="7">
        <f>SUM(D$5:D86)</f>
        <v>0</v>
      </c>
      <c r="G86" s="7">
        <f>$D$1-'Amort Schedule - Flip'!F86</f>
        <v>0</v>
      </c>
      <c r="H86" s="11" t="e">
        <f t="shared" si="13"/>
        <v>#DIV/0!</v>
      </c>
      <c r="J86" s="127">
        <f t="shared" si="16"/>
        <v>0</v>
      </c>
      <c r="K86" s="127">
        <f t="shared" si="17"/>
        <v>0</v>
      </c>
      <c r="L86" s="7">
        <f t="shared" si="18"/>
        <v>0</v>
      </c>
      <c r="M86" s="7">
        <f t="shared" si="19"/>
        <v>0</v>
      </c>
      <c r="N86" s="7">
        <f t="shared" si="20"/>
        <v>0</v>
      </c>
      <c r="O86" s="7">
        <f t="shared" si="21"/>
        <v>0</v>
      </c>
    </row>
    <row r="87" spans="1:15" x14ac:dyDescent="0.2">
      <c r="A87">
        <f t="shared" si="14"/>
        <v>83</v>
      </c>
      <c r="B87" s="7">
        <f t="shared" si="15"/>
        <v>0</v>
      </c>
      <c r="C87" s="7">
        <f t="shared" si="11"/>
        <v>0</v>
      </c>
      <c r="D87" s="7">
        <f t="shared" si="12"/>
        <v>0</v>
      </c>
      <c r="E87" s="7">
        <f>SUM(C$5:C87)</f>
        <v>0</v>
      </c>
      <c r="F87" s="7">
        <f>SUM(D$5:D87)</f>
        <v>0</v>
      </c>
      <c r="G87" s="7">
        <f>$D$1-'Amort Schedule - Flip'!F87</f>
        <v>0</v>
      </c>
      <c r="H87" s="11" t="e">
        <f t="shared" si="13"/>
        <v>#DIV/0!</v>
      </c>
      <c r="J87" s="127">
        <f t="shared" si="16"/>
        <v>0</v>
      </c>
      <c r="K87" s="127">
        <f t="shared" si="17"/>
        <v>0</v>
      </c>
      <c r="L87" s="7">
        <f t="shared" si="18"/>
        <v>0</v>
      </c>
      <c r="M87" s="7">
        <f t="shared" si="19"/>
        <v>0</v>
      </c>
      <c r="N87" s="7">
        <f t="shared" si="20"/>
        <v>0</v>
      </c>
      <c r="O87" s="7">
        <f t="shared" si="21"/>
        <v>0</v>
      </c>
    </row>
    <row r="88" spans="1:15" s="6" customFormat="1" x14ac:dyDescent="0.2">
      <c r="A88" s="6">
        <f t="shared" si="14"/>
        <v>84</v>
      </c>
      <c r="B88" s="128">
        <f t="shared" si="15"/>
        <v>0</v>
      </c>
      <c r="C88" s="128">
        <f t="shared" si="11"/>
        <v>0</v>
      </c>
      <c r="D88" s="128">
        <f t="shared" si="12"/>
        <v>0</v>
      </c>
      <c r="E88" s="128">
        <f>SUM(C$5:C88)</f>
        <v>0</v>
      </c>
      <c r="F88" s="128">
        <f>SUM(D$5:D88)</f>
        <v>0</v>
      </c>
      <c r="G88" s="128">
        <f>$D$1-'Amort Schedule - Flip'!F88</f>
        <v>0</v>
      </c>
      <c r="H88" s="124" t="e">
        <f t="shared" si="13"/>
        <v>#DIV/0!</v>
      </c>
      <c r="J88" s="131">
        <f t="shared" si="16"/>
        <v>0</v>
      </c>
      <c r="K88" s="131">
        <f t="shared" si="17"/>
        <v>0</v>
      </c>
      <c r="L88" s="128">
        <f t="shared" si="18"/>
        <v>0</v>
      </c>
      <c r="M88" s="128">
        <f t="shared" si="19"/>
        <v>0</v>
      </c>
      <c r="N88" s="128">
        <f t="shared" si="20"/>
        <v>0</v>
      </c>
      <c r="O88" s="128">
        <f t="shared" si="21"/>
        <v>0</v>
      </c>
    </row>
    <row r="89" spans="1:15" x14ac:dyDescent="0.2">
      <c r="A89">
        <f t="shared" si="14"/>
        <v>85</v>
      </c>
      <c r="B89" s="7">
        <f t="shared" si="15"/>
        <v>0</v>
      </c>
      <c r="C89" s="7">
        <f t="shared" si="11"/>
        <v>0</v>
      </c>
      <c r="D89" s="7">
        <f t="shared" si="12"/>
        <v>0</v>
      </c>
      <c r="E89" s="7">
        <f>SUM(C$5:C89)</f>
        <v>0</v>
      </c>
      <c r="F89" s="7">
        <f>SUM(D$5:D89)</f>
        <v>0</v>
      </c>
      <c r="G89" s="7">
        <f>$D$1-'Amort Schedule - Flip'!F89</f>
        <v>0</v>
      </c>
      <c r="H89" s="11" t="e">
        <f t="shared" si="13"/>
        <v>#DIV/0!</v>
      </c>
      <c r="J89" s="127">
        <f t="shared" si="16"/>
        <v>0</v>
      </c>
      <c r="K89" s="127">
        <f t="shared" si="17"/>
        <v>0</v>
      </c>
      <c r="L89" s="7">
        <f t="shared" si="18"/>
        <v>0</v>
      </c>
      <c r="M89" s="7">
        <f t="shared" si="19"/>
        <v>0</v>
      </c>
      <c r="N89" s="7">
        <f t="shared" si="20"/>
        <v>0</v>
      </c>
      <c r="O89" s="7">
        <f t="shared" si="21"/>
        <v>0</v>
      </c>
    </row>
    <row r="90" spans="1:15" x14ac:dyDescent="0.2">
      <c r="A90">
        <f t="shared" si="14"/>
        <v>86</v>
      </c>
      <c r="B90" s="7">
        <f t="shared" si="15"/>
        <v>0</v>
      </c>
      <c r="C90" s="7">
        <f t="shared" si="11"/>
        <v>0</v>
      </c>
      <c r="D90" s="7">
        <f t="shared" si="12"/>
        <v>0</v>
      </c>
      <c r="E90" s="7">
        <f>SUM(C$5:C90)</f>
        <v>0</v>
      </c>
      <c r="F90" s="7">
        <f>SUM(D$5:D90)</f>
        <v>0</v>
      </c>
      <c r="G90" s="7">
        <f>$D$1-'Amort Schedule - Flip'!F90</f>
        <v>0</v>
      </c>
      <c r="H90" s="11" t="e">
        <f t="shared" si="13"/>
        <v>#DIV/0!</v>
      </c>
      <c r="J90" s="127">
        <f t="shared" si="16"/>
        <v>0</v>
      </c>
      <c r="K90" s="127">
        <f t="shared" si="17"/>
        <v>0</v>
      </c>
      <c r="L90" s="7">
        <f t="shared" si="18"/>
        <v>0</v>
      </c>
      <c r="M90" s="7">
        <f t="shared" si="19"/>
        <v>0</v>
      </c>
      <c r="N90" s="7">
        <f t="shared" si="20"/>
        <v>0</v>
      </c>
      <c r="O90" s="7">
        <f t="shared" si="21"/>
        <v>0</v>
      </c>
    </row>
    <row r="91" spans="1:15" x14ac:dyDescent="0.2">
      <c r="A91">
        <f t="shared" si="14"/>
        <v>87</v>
      </c>
      <c r="B91" s="7">
        <f t="shared" si="15"/>
        <v>0</v>
      </c>
      <c r="C91" s="7">
        <f t="shared" si="11"/>
        <v>0</v>
      </c>
      <c r="D91" s="7">
        <f t="shared" si="12"/>
        <v>0</v>
      </c>
      <c r="E91" s="7">
        <f>SUM(C$5:C91)</f>
        <v>0</v>
      </c>
      <c r="F91" s="7">
        <f>SUM(D$5:D91)</f>
        <v>0</v>
      </c>
      <c r="G91" s="7">
        <f>$D$1-'Amort Schedule - Flip'!F91</f>
        <v>0</v>
      </c>
      <c r="H91" s="11" t="e">
        <f t="shared" si="13"/>
        <v>#DIV/0!</v>
      </c>
      <c r="J91" s="127">
        <f t="shared" si="16"/>
        <v>0</v>
      </c>
      <c r="K91" s="127">
        <f t="shared" si="17"/>
        <v>0</v>
      </c>
      <c r="L91" s="7">
        <f t="shared" si="18"/>
        <v>0</v>
      </c>
      <c r="M91" s="7">
        <f t="shared" si="19"/>
        <v>0</v>
      </c>
      <c r="N91" s="7">
        <f t="shared" si="20"/>
        <v>0</v>
      </c>
      <c r="O91" s="7">
        <f t="shared" si="21"/>
        <v>0</v>
      </c>
    </row>
    <row r="92" spans="1:15" x14ac:dyDescent="0.2">
      <c r="A92">
        <f t="shared" si="14"/>
        <v>88</v>
      </c>
      <c r="B92" s="7">
        <f t="shared" si="15"/>
        <v>0</v>
      </c>
      <c r="C92" s="7">
        <f t="shared" si="11"/>
        <v>0</v>
      </c>
      <c r="D92" s="7">
        <f t="shared" si="12"/>
        <v>0</v>
      </c>
      <c r="E92" s="7">
        <f>SUM(C$5:C92)</f>
        <v>0</v>
      </c>
      <c r="F92" s="7">
        <f>SUM(D$5:D92)</f>
        <v>0</v>
      </c>
      <c r="G92" s="7">
        <f>$D$1-'Amort Schedule - Flip'!F92</f>
        <v>0</v>
      </c>
      <c r="H92" s="11" t="e">
        <f t="shared" si="13"/>
        <v>#DIV/0!</v>
      </c>
      <c r="J92" s="127">
        <f t="shared" si="16"/>
        <v>0</v>
      </c>
      <c r="K92" s="127">
        <f t="shared" si="17"/>
        <v>0</v>
      </c>
      <c r="L92" s="7">
        <f t="shared" si="18"/>
        <v>0</v>
      </c>
      <c r="M92" s="7">
        <f t="shared" si="19"/>
        <v>0</v>
      </c>
      <c r="N92" s="7">
        <f t="shared" si="20"/>
        <v>0</v>
      </c>
      <c r="O92" s="7">
        <f t="shared" si="21"/>
        <v>0</v>
      </c>
    </row>
    <row r="93" spans="1:15" x14ac:dyDescent="0.2">
      <c r="A93">
        <f t="shared" si="14"/>
        <v>89</v>
      </c>
      <c r="B93" s="7">
        <f t="shared" si="15"/>
        <v>0</v>
      </c>
      <c r="C93" s="7">
        <f t="shared" si="11"/>
        <v>0</v>
      </c>
      <c r="D93" s="7">
        <f t="shared" si="12"/>
        <v>0</v>
      </c>
      <c r="E93" s="7">
        <f>SUM(C$5:C93)</f>
        <v>0</v>
      </c>
      <c r="F93" s="7">
        <f>SUM(D$5:D93)</f>
        <v>0</v>
      </c>
      <c r="G93" s="7">
        <f>$D$1-'Amort Schedule - Flip'!F93</f>
        <v>0</v>
      </c>
      <c r="H93" s="11" t="e">
        <f t="shared" si="13"/>
        <v>#DIV/0!</v>
      </c>
      <c r="J93" s="127">
        <f t="shared" si="16"/>
        <v>0</v>
      </c>
      <c r="K93" s="127">
        <f t="shared" si="17"/>
        <v>0</v>
      </c>
      <c r="L93" s="7">
        <f t="shared" si="18"/>
        <v>0</v>
      </c>
      <c r="M93" s="7">
        <f t="shared" si="19"/>
        <v>0</v>
      </c>
      <c r="N93" s="7">
        <f t="shared" si="20"/>
        <v>0</v>
      </c>
      <c r="O93" s="7">
        <f t="shared" si="21"/>
        <v>0</v>
      </c>
    </row>
    <row r="94" spans="1:15" x14ac:dyDescent="0.2">
      <c r="A94">
        <f t="shared" si="14"/>
        <v>90</v>
      </c>
      <c r="B94" s="7">
        <f t="shared" si="15"/>
        <v>0</v>
      </c>
      <c r="C94" s="7">
        <f t="shared" si="11"/>
        <v>0</v>
      </c>
      <c r="D94" s="7">
        <f t="shared" si="12"/>
        <v>0</v>
      </c>
      <c r="E94" s="7">
        <f>SUM(C$5:C94)</f>
        <v>0</v>
      </c>
      <c r="F94" s="7">
        <f>SUM(D$5:D94)</f>
        <v>0</v>
      </c>
      <c r="G94" s="7">
        <f>$D$1-'Amort Schedule - Flip'!F94</f>
        <v>0</v>
      </c>
      <c r="H94" s="11" t="e">
        <f t="shared" si="13"/>
        <v>#DIV/0!</v>
      </c>
      <c r="J94" s="127">
        <f t="shared" si="16"/>
        <v>0</v>
      </c>
      <c r="K94" s="127">
        <f t="shared" si="17"/>
        <v>0</v>
      </c>
      <c r="L94" s="7">
        <f t="shared" si="18"/>
        <v>0</v>
      </c>
      <c r="M94" s="7">
        <f t="shared" si="19"/>
        <v>0</v>
      </c>
      <c r="N94" s="7">
        <f t="shared" si="20"/>
        <v>0</v>
      </c>
      <c r="O94" s="7">
        <f t="shared" si="21"/>
        <v>0</v>
      </c>
    </row>
    <row r="95" spans="1:15" x14ac:dyDescent="0.2">
      <c r="A95">
        <f t="shared" si="14"/>
        <v>91</v>
      </c>
      <c r="B95" s="7">
        <f t="shared" si="15"/>
        <v>0</v>
      </c>
      <c r="C95" s="7">
        <f t="shared" si="11"/>
        <v>0</v>
      </c>
      <c r="D95" s="7">
        <f t="shared" si="12"/>
        <v>0</v>
      </c>
      <c r="E95" s="7">
        <f>SUM(C$5:C95)</f>
        <v>0</v>
      </c>
      <c r="F95" s="7">
        <f>SUM(D$5:D95)</f>
        <v>0</v>
      </c>
      <c r="G95" s="7">
        <f>$D$1-'Amort Schedule - Flip'!F95</f>
        <v>0</v>
      </c>
      <c r="H95" s="11" t="e">
        <f t="shared" si="13"/>
        <v>#DIV/0!</v>
      </c>
      <c r="J95" s="127">
        <f t="shared" si="16"/>
        <v>0</v>
      </c>
      <c r="K95" s="127">
        <f t="shared" si="17"/>
        <v>0</v>
      </c>
      <c r="L95" s="7">
        <f t="shared" si="18"/>
        <v>0</v>
      </c>
      <c r="M95" s="7">
        <f t="shared" si="19"/>
        <v>0</v>
      </c>
      <c r="N95" s="7">
        <f t="shared" si="20"/>
        <v>0</v>
      </c>
      <c r="O95" s="7">
        <f t="shared" si="21"/>
        <v>0</v>
      </c>
    </row>
    <row r="96" spans="1:15" x14ac:dyDescent="0.2">
      <c r="A96">
        <f t="shared" si="14"/>
        <v>92</v>
      </c>
      <c r="B96" s="7">
        <f t="shared" si="15"/>
        <v>0</v>
      </c>
      <c r="C96" s="7">
        <f t="shared" si="11"/>
        <v>0</v>
      </c>
      <c r="D96" s="7">
        <f t="shared" si="12"/>
        <v>0</v>
      </c>
      <c r="E96" s="7">
        <f>SUM(C$5:C96)</f>
        <v>0</v>
      </c>
      <c r="F96" s="7">
        <f>SUM(D$5:D96)</f>
        <v>0</v>
      </c>
      <c r="G96" s="7">
        <f>$D$1-'Amort Schedule - Flip'!F96</f>
        <v>0</v>
      </c>
      <c r="H96" s="11" t="e">
        <f t="shared" si="13"/>
        <v>#DIV/0!</v>
      </c>
      <c r="J96" s="127">
        <f t="shared" si="16"/>
        <v>0</v>
      </c>
      <c r="K96" s="127">
        <f t="shared" si="17"/>
        <v>0</v>
      </c>
      <c r="L96" s="7">
        <f t="shared" si="18"/>
        <v>0</v>
      </c>
      <c r="M96" s="7">
        <f t="shared" si="19"/>
        <v>0</v>
      </c>
      <c r="N96" s="7">
        <f t="shared" si="20"/>
        <v>0</v>
      </c>
      <c r="O96" s="7">
        <f t="shared" si="21"/>
        <v>0</v>
      </c>
    </row>
    <row r="97" spans="1:15" x14ac:dyDescent="0.2">
      <c r="A97">
        <f t="shared" si="14"/>
        <v>93</v>
      </c>
      <c r="B97" s="7">
        <f t="shared" si="15"/>
        <v>0</v>
      </c>
      <c r="C97" s="7">
        <f t="shared" si="11"/>
        <v>0</v>
      </c>
      <c r="D97" s="7">
        <f t="shared" si="12"/>
        <v>0</v>
      </c>
      <c r="E97" s="7">
        <f>SUM(C$5:C97)</f>
        <v>0</v>
      </c>
      <c r="F97" s="7">
        <f>SUM(D$5:D97)</f>
        <v>0</v>
      </c>
      <c r="G97" s="7">
        <f>$D$1-'Amort Schedule - Flip'!F97</f>
        <v>0</v>
      </c>
      <c r="H97" s="11" t="e">
        <f t="shared" si="13"/>
        <v>#DIV/0!</v>
      </c>
      <c r="J97" s="127">
        <f t="shared" si="16"/>
        <v>0</v>
      </c>
      <c r="K97" s="127">
        <f t="shared" si="17"/>
        <v>0</v>
      </c>
      <c r="L97" s="7">
        <f t="shared" si="18"/>
        <v>0</v>
      </c>
      <c r="M97" s="7">
        <f t="shared" si="19"/>
        <v>0</v>
      </c>
      <c r="N97" s="7">
        <f t="shared" si="20"/>
        <v>0</v>
      </c>
      <c r="O97" s="7">
        <f t="shared" si="21"/>
        <v>0</v>
      </c>
    </row>
    <row r="98" spans="1:15" x14ac:dyDescent="0.2">
      <c r="A98">
        <f t="shared" si="14"/>
        <v>94</v>
      </c>
      <c r="B98" s="7">
        <f t="shared" si="15"/>
        <v>0</v>
      </c>
      <c r="C98" s="7">
        <f t="shared" si="11"/>
        <v>0</v>
      </c>
      <c r="D98" s="7">
        <f t="shared" si="12"/>
        <v>0</v>
      </c>
      <c r="E98" s="7">
        <f>SUM(C$5:C98)</f>
        <v>0</v>
      </c>
      <c r="F98" s="7">
        <f>SUM(D$5:D98)</f>
        <v>0</v>
      </c>
      <c r="G98" s="7">
        <f>$D$1-'Amort Schedule - Flip'!F98</f>
        <v>0</v>
      </c>
      <c r="H98" s="11" t="e">
        <f t="shared" si="13"/>
        <v>#DIV/0!</v>
      </c>
      <c r="J98" s="127">
        <f t="shared" si="16"/>
        <v>0</v>
      </c>
      <c r="K98" s="127">
        <f t="shared" si="17"/>
        <v>0</v>
      </c>
      <c r="L98" s="7">
        <f t="shared" si="18"/>
        <v>0</v>
      </c>
      <c r="M98" s="7">
        <f t="shared" si="19"/>
        <v>0</v>
      </c>
      <c r="N98" s="7">
        <f t="shared" si="20"/>
        <v>0</v>
      </c>
      <c r="O98" s="7">
        <f t="shared" si="21"/>
        <v>0</v>
      </c>
    </row>
    <row r="99" spans="1:15" x14ac:dyDescent="0.2">
      <c r="A99">
        <f t="shared" si="14"/>
        <v>95</v>
      </c>
      <c r="B99" s="7">
        <f t="shared" si="15"/>
        <v>0</v>
      </c>
      <c r="C99" s="7">
        <f t="shared" si="11"/>
        <v>0</v>
      </c>
      <c r="D99" s="7">
        <f t="shared" si="12"/>
        <v>0</v>
      </c>
      <c r="E99" s="7">
        <f>SUM(C$5:C99)</f>
        <v>0</v>
      </c>
      <c r="F99" s="7">
        <f>SUM(D$5:D99)</f>
        <v>0</v>
      </c>
      <c r="G99" s="7">
        <f>$D$1-'Amort Schedule - Flip'!F99</f>
        <v>0</v>
      </c>
      <c r="H99" s="11" t="e">
        <f t="shared" si="13"/>
        <v>#DIV/0!</v>
      </c>
      <c r="J99" s="127">
        <f t="shared" si="16"/>
        <v>0</v>
      </c>
      <c r="K99" s="127">
        <f t="shared" si="17"/>
        <v>0</v>
      </c>
      <c r="L99" s="7">
        <f t="shared" si="18"/>
        <v>0</v>
      </c>
      <c r="M99" s="7">
        <f t="shared" si="19"/>
        <v>0</v>
      </c>
      <c r="N99" s="7">
        <f t="shared" si="20"/>
        <v>0</v>
      </c>
      <c r="O99" s="7">
        <f t="shared" si="21"/>
        <v>0</v>
      </c>
    </row>
    <row r="100" spans="1:15" s="6" customFormat="1" x14ac:dyDescent="0.2">
      <c r="A100" s="6">
        <f t="shared" si="14"/>
        <v>96</v>
      </c>
      <c r="B100" s="128">
        <f t="shared" si="15"/>
        <v>0</v>
      </c>
      <c r="C100" s="128">
        <f t="shared" si="11"/>
        <v>0</v>
      </c>
      <c r="D100" s="128">
        <f t="shared" si="12"/>
        <v>0</v>
      </c>
      <c r="E100" s="128">
        <f>SUM(C$5:C100)</f>
        <v>0</v>
      </c>
      <c r="F100" s="128">
        <f>SUM(D$5:D100)</f>
        <v>0</v>
      </c>
      <c r="G100" s="128">
        <f>$D$1-'Amort Schedule - Flip'!F100</f>
        <v>0</v>
      </c>
      <c r="H100" s="124" t="e">
        <f t="shared" si="13"/>
        <v>#DIV/0!</v>
      </c>
      <c r="J100" s="131">
        <f t="shared" si="16"/>
        <v>0</v>
      </c>
      <c r="K100" s="131">
        <f t="shared" si="17"/>
        <v>0</v>
      </c>
      <c r="L100" s="128">
        <f t="shared" si="18"/>
        <v>0</v>
      </c>
      <c r="M100" s="128">
        <f t="shared" si="19"/>
        <v>0</v>
      </c>
      <c r="N100" s="128">
        <f t="shared" si="20"/>
        <v>0</v>
      </c>
      <c r="O100" s="128">
        <f t="shared" si="21"/>
        <v>0</v>
      </c>
    </row>
    <row r="101" spans="1:15" x14ac:dyDescent="0.2">
      <c r="A101">
        <f t="shared" si="14"/>
        <v>97</v>
      </c>
      <c r="B101" s="7">
        <f t="shared" si="15"/>
        <v>0</v>
      </c>
      <c r="C101" s="7">
        <f t="shared" si="11"/>
        <v>0</v>
      </c>
      <c r="D101" s="7">
        <f t="shared" si="12"/>
        <v>0</v>
      </c>
      <c r="E101" s="7">
        <f>SUM(C$5:C101)</f>
        <v>0</v>
      </c>
      <c r="F101" s="7">
        <f>SUM(D$5:D101)</f>
        <v>0</v>
      </c>
      <c r="G101" s="7">
        <f>$D$1-'Amort Schedule - Flip'!F101</f>
        <v>0</v>
      </c>
      <c r="H101" s="11" t="e">
        <f t="shared" si="13"/>
        <v>#DIV/0!</v>
      </c>
      <c r="J101" s="127">
        <f t="shared" si="16"/>
        <v>0</v>
      </c>
      <c r="K101" s="127">
        <f t="shared" si="17"/>
        <v>0</v>
      </c>
      <c r="L101" s="7">
        <f t="shared" si="18"/>
        <v>0</v>
      </c>
      <c r="M101" s="7">
        <f t="shared" si="19"/>
        <v>0</v>
      </c>
      <c r="N101" s="7">
        <f t="shared" si="20"/>
        <v>0</v>
      </c>
      <c r="O101" s="7">
        <f t="shared" si="21"/>
        <v>0</v>
      </c>
    </row>
    <row r="102" spans="1:15" x14ac:dyDescent="0.2">
      <c r="A102">
        <f t="shared" si="14"/>
        <v>98</v>
      </c>
      <c r="B102" s="7">
        <f t="shared" si="15"/>
        <v>0</v>
      </c>
      <c r="C102" s="7">
        <f t="shared" si="11"/>
        <v>0</v>
      </c>
      <c r="D102" s="7">
        <f t="shared" si="12"/>
        <v>0</v>
      </c>
      <c r="E102" s="7">
        <f>SUM(C$5:C102)</f>
        <v>0</v>
      </c>
      <c r="F102" s="7">
        <f>SUM(D$5:D102)</f>
        <v>0</v>
      </c>
      <c r="G102" s="7">
        <f>$D$1-'Amort Schedule - Flip'!F102</f>
        <v>0</v>
      </c>
      <c r="H102" s="11" t="e">
        <f t="shared" si="13"/>
        <v>#DIV/0!</v>
      </c>
      <c r="J102" s="127">
        <f t="shared" si="16"/>
        <v>0</v>
      </c>
      <c r="K102" s="127">
        <f t="shared" si="17"/>
        <v>0</v>
      </c>
      <c r="L102" s="7">
        <f t="shared" si="18"/>
        <v>0</v>
      </c>
      <c r="M102" s="7">
        <f t="shared" si="19"/>
        <v>0</v>
      </c>
      <c r="N102" s="7">
        <f t="shared" si="20"/>
        <v>0</v>
      </c>
      <c r="O102" s="7">
        <f t="shared" si="21"/>
        <v>0</v>
      </c>
    </row>
    <row r="103" spans="1:15" x14ac:dyDescent="0.2">
      <c r="A103">
        <f t="shared" si="14"/>
        <v>99</v>
      </c>
      <c r="B103" s="7">
        <f t="shared" si="15"/>
        <v>0</v>
      </c>
      <c r="C103" s="7">
        <f t="shared" si="11"/>
        <v>0</v>
      </c>
      <c r="D103" s="7">
        <f t="shared" si="12"/>
        <v>0</v>
      </c>
      <c r="E103" s="7">
        <f>SUM(C$5:C103)</f>
        <v>0</v>
      </c>
      <c r="F103" s="7">
        <f>SUM(D$5:D103)</f>
        <v>0</v>
      </c>
      <c r="G103" s="7">
        <f>$D$1-'Amort Schedule - Flip'!F103</f>
        <v>0</v>
      </c>
      <c r="H103" s="11" t="e">
        <f t="shared" si="13"/>
        <v>#DIV/0!</v>
      </c>
      <c r="J103" s="127">
        <f t="shared" si="16"/>
        <v>0</v>
      </c>
      <c r="K103" s="127">
        <f t="shared" si="17"/>
        <v>0</v>
      </c>
      <c r="L103" s="7">
        <f t="shared" si="18"/>
        <v>0</v>
      </c>
      <c r="M103" s="7">
        <f t="shared" si="19"/>
        <v>0</v>
      </c>
      <c r="N103" s="7">
        <f t="shared" si="20"/>
        <v>0</v>
      </c>
      <c r="O103" s="7">
        <f t="shared" si="21"/>
        <v>0</v>
      </c>
    </row>
    <row r="104" spans="1:15" x14ac:dyDescent="0.2">
      <c r="A104">
        <f t="shared" si="14"/>
        <v>100</v>
      </c>
      <c r="B104" s="7">
        <f t="shared" si="15"/>
        <v>0</v>
      </c>
      <c r="C104" s="7">
        <f t="shared" si="11"/>
        <v>0</v>
      </c>
      <c r="D104" s="7">
        <f t="shared" si="12"/>
        <v>0</v>
      </c>
      <c r="E104" s="7">
        <f>SUM(C$5:C104)</f>
        <v>0</v>
      </c>
      <c r="F104" s="7">
        <f>SUM(D$5:D104)</f>
        <v>0</v>
      </c>
      <c r="G104" s="7">
        <f>$D$1-'Amort Schedule - Flip'!F104</f>
        <v>0</v>
      </c>
      <c r="H104" s="11" t="e">
        <f t="shared" si="13"/>
        <v>#DIV/0!</v>
      </c>
      <c r="J104" s="127">
        <f t="shared" si="16"/>
        <v>0</v>
      </c>
      <c r="K104" s="127">
        <f t="shared" si="17"/>
        <v>0</v>
      </c>
      <c r="L104" s="7">
        <f t="shared" si="18"/>
        <v>0</v>
      </c>
      <c r="M104" s="7">
        <f t="shared" si="19"/>
        <v>0</v>
      </c>
      <c r="N104" s="7">
        <f t="shared" si="20"/>
        <v>0</v>
      </c>
      <c r="O104" s="7">
        <f t="shared" si="21"/>
        <v>0</v>
      </c>
    </row>
    <row r="105" spans="1:15" x14ac:dyDescent="0.2">
      <c r="A105">
        <f t="shared" si="14"/>
        <v>101</v>
      </c>
      <c r="B105" s="7">
        <f t="shared" si="15"/>
        <v>0</v>
      </c>
      <c r="C105" s="7">
        <f t="shared" si="11"/>
        <v>0</v>
      </c>
      <c r="D105" s="7">
        <f t="shared" si="12"/>
        <v>0</v>
      </c>
      <c r="E105" s="7">
        <f>SUM(C$5:C105)</f>
        <v>0</v>
      </c>
      <c r="F105" s="7">
        <f>SUM(D$5:D105)</f>
        <v>0</v>
      </c>
      <c r="G105" s="7">
        <f>$D$1-'Amort Schedule - Flip'!F105</f>
        <v>0</v>
      </c>
      <c r="H105" s="11" t="e">
        <f t="shared" si="13"/>
        <v>#DIV/0!</v>
      </c>
      <c r="J105" s="127">
        <f t="shared" si="16"/>
        <v>0</v>
      </c>
      <c r="K105" s="127">
        <f t="shared" si="17"/>
        <v>0</v>
      </c>
      <c r="L105" s="7">
        <f t="shared" si="18"/>
        <v>0</v>
      </c>
      <c r="M105" s="7">
        <f t="shared" si="19"/>
        <v>0</v>
      </c>
      <c r="N105" s="7">
        <f t="shared" si="20"/>
        <v>0</v>
      </c>
      <c r="O105" s="7">
        <f t="shared" si="21"/>
        <v>0</v>
      </c>
    </row>
    <row r="106" spans="1:15" x14ac:dyDescent="0.2">
      <c r="A106">
        <f t="shared" si="14"/>
        <v>102</v>
      </c>
      <c r="B106" s="7">
        <f t="shared" si="15"/>
        <v>0</v>
      </c>
      <c r="C106" s="7">
        <f t="shared" si="11"/>
        <v>0</v>
      </c>
      <c r="D106" s="7">
        <f t="shared" si="12"/>
        <v>0</v>
      </c>
      <c r="E106" s="7">
        <f>SUM(C$5:C106)</f>
        <v>0</v>
      </c>
      <c r="F106" s="7">
        <f>SUM(D$5:D106)</f>
        <v>0</v>
      </c>
      <c r="G106" s="7">
        <f>$D$1-'Amort Schedule - Flip'!F106</f>
        <v>0</v>
      </c>
      <c r="H106" s="11" t="e">
        <f t="shared" si="13"/>
        <v>#DIV/0!</v>
      </c>
      <c r="J106" s="127">
        <f t="shared" si="16"/>
        <v>0</v>
      </c>
      <c r="K106" s="127">
        <f t="shared" si="17"/>
        <v>0</v>
      </c>
      <c r="L106" s="7">
        <f t="shared" si="18"/>
        <v>0</v>
      </c>
      <c r="M106" s="7">
        <f t="shared" si="19"/>
        <v>0</v>
      </c>
      <c r="N106" s="7">
        <f t="shared" si="20"/>
        <v>0</v>
      </c>
      <c r="O106" s="7">
        <f t="shared" si="21"/>
        <v>0</v>
      </c>
    </row>
    <row r="107" spans="1:15" x14ac:dyDescent="0.2">
      <c r="A107">
        <f t="shared" si="14"/>
        <v>103</v>
      </c>
      <c r="B107" s="7">
        <f t="shared" si="15"/>
        <v>0</v>
      </c>
      <c r="C107" s="7">
        <f t="shared" si="11"/>
        <v>0</v>
      </c>
      <c r="D107" s="7">
        <f t="shared" si="12"/>
        <v>0</v>
      </c>
      <c r="E107" s="7">
        <f>SUM(C$5:C107)</f>
        <v>0</v>
      </c>
      <c r="F107" s="7">
        <f>SUM(D$5:D107)</f>
        <v>0</v>
      </c>
      <c r="G107" s="7">
        <f>$D$1-'Amort Schedule - Flip'!F107</f>
        <v>0</v>
      </c>
      <c r="H107" s="11" t="e">
        <f t="shared" si="13"/>
        <v>#DIV/0!</v>
      </c>
      <c r="J107" s="127">
        <f t="shared" si="16"/>
        <v>0</v>
      </c>
      <c r="K107" s="127">
        <f t="shared" si="17"/>
        <v>0</v>
      </c>
      <c r="L107" s="7">
        <f t="shared" si="18"/>
        <v>0</v>
      </c>
      <c r="M107" s="7">
        <f t="shared" si="19"/>
        <v>0</v>
      </c>
      <c r="N107" s="7">
        <f t="shared" si="20"/>
        <v>0</v>
      </c>
      <c r="O107" s="7">
        <f t="shared" si="21"/>
        <v>0</v>
      </c>
    </row>
    <row r="108" spans="1:15" x14ac:dyDescent="0.2">
      <c r="A108">
        <f t="shared" si="14"/>
        <v>104</v>
      </c>
      <c r="B108" s="7">
        <f t="shared" si="15"/>
        <v>0</v>
      </c>
      <c r="C108" s="7">
        <f t="shared" si="11"/>
        <v>0</v>
      </c>
      <c r="D108" s="7">
        <f t="shared" si="12"/>
        <v>0</v>
      </c>
      <c r="E108" s="7">
        <f>SUM(C$5:C108)</f>
        <v>0</v>
      </c>
      <c r="F108" s="7">
        <f>SUM(D$5:D108)</f>
        <v>0</v>
      </c>
      <c r="G108" s="7">
        <f>$D$1-'Amort Schedule - Flip'!F108</f>
        <v>0</v>
      </c>
      <c r="H108" s="11" t="e">
        <f t="shared" si="13"/>
        <v>#DIV/0!</v>
      </c>
      <c r="J108" s="127">
        <f t="shared" si="16"/>
        <v>0</v>
      </c>
      <c r="K108" s="127">
        <f t="shared" si="17"/>
        <v>0</v>
      </c>
      <c r="L108" s="7">
        <f t="shared" si="18"/>
        <v>0</v>
      </c>
      <c r="M108" s="7">
        <f t="shared" si="19"/>
        <v>0</v>
      </c>
      <c r="N108" s="7">
        <f t="shared" si="20"/>
        <v>0</v>
      </c>
      <c r="O108" s="7">
        <f t="shared" si="21"/>
        <v>0</v>
      </c>
    </row>
    <row r="109" spans="1:15" x14ac:dyDescent="0.2">
      <c r="A109">
        <f t="shared" si="14"/>
        <v>105</v>
      </c>
      <c r="B109" s="7">
        <f t="shared" si="15"/>
        <v>0</v>
      </c>
      <c r="C109" s="7">
        <f t="shared" si="11"/>
        <v>0</v>
      </c>
      <c r="D109" s="7">
        <f t="shared" si="12"/>
        <v>0</v>
      </c>
      <c r="E109" s="7">
        <f>SUM(C$5:C109)</f>
        <v>0</v>
      </c>
      <c r="F109" s="7">
        <f>SUM(D$5:D109)</f>
        <v>0</v>
      </c>
      <c r="G109" s="7">
        <f>$D$1-'Amort Schedule - Flip'!F109</f>
        <v>0</v>
      </c>
      <c r="H109" s="11" t="e">
        <f t="shared" si="13"/>
        <v>#DIV/0!</v>
      </c>
      <c r="J109" s="127">
        <f t="shared" si="16"/>
        <v>0</v>
      </c>
      <c r="K109" s="127">
        <f t="shared" si="17"/>
        <v>0</v>
      </c>
      <c r="L109" s="7">
        <f t="shared" si="18"/>
        <v>0</v>
      </c>
      <c r="M109" s="7">
        <f t="shared" si="19"/>
        <v>0</v>
      </c>
      <c r="N109" s="7">
        <f t="shared" si="20"/>
        <v>0</v>
      </c>
      <c r="O109" s="7">
        <f t="shared" si="21"/>
        <v>0</v>
      </c>
    </row>
    <row r="110" spans="1:15" x14ac:dyDescent="0.2">
      <c r="A110">
        <f t="shared" si="14"/>
        <v>106</v>
      </c>
      <c r="B110" s="7">
        <f t="shared" si="15"/>
        <v>0</v>
      </c>
      <c r="C110" s="7">
        <f t="shared" si="11"/>
        <v>0</v>
      </c>
      <c r="D110" s="7">
        <f t="shared" si="12"/>
        <v>0</v>
      </c>
      <c r="E110" s="7">
        <f>SUM(C$5:C110)</f>
        <v>0</v>
      </c>
      <c r="F110" s="7">
        <f>SUM(D$5:D110)</f>
        <v>0</v>
      </c>
      <c r="G110" s="7">
        <f>$D$1-'Amort Schedule - Flip'!F110</f>
        <v>0</v>
      </c>
      <c r="H110" s="11" t="e">
        <f t="shared" si="13"/>
        <v>#DIV/0!</v>
      </c>
      <c r="J110" s="127">
        <f t="shared" si="16"/>
        <v>0</v>
      </c>
      <c r="K110" s="127">
        <f t="shared" si="17"/>
        <v>0</v>
      </c>
      <c r="L110" s="7">
        <f t="shared" si="18"/>
        <v>0</v>
      </c>
      <c r="M110" s="7">
        <f t="shared" si="19"/>
        <v>0</v>
      </c>
      <c r="N110" s="7">
        <f t="shared" si="20"/>
        <v>0</v>
      </c>
      <c r="O110" s="7">
        <f t="shared" si="21"/>
        <v>0</v>
      </c>
    </row>
    <row r="111" spans="1:15" x14ac:dyDescent="0.2">
      <c r="A111">
        <f t="shared" si="14"/>
        <v>107</v>
      </c>
      <c r="B111" s="7">
        <f t="shared" si="15"/>
        <v>0</v>
      </c>
      <c r="C111" s="7">
        <f t="shared" si="11"/>
        <v>0</v>
      </c>
      <c r="D111" s="7">
        <f t="shared" si="12"/>
        <v>0</v>
      </c>
      <c r="E111" s="7">
        <f>SUM(C$5:C111)</f>
        <v>0</v>
      </c>
      <c r="F111" s="7">
        <f>SUM(D$5:D111)</f>
        <v>0</v>
      </c>
      <c r="G111" s="7">
        <f>$D$1-'Amort Schedule - Flip'!F111</f>
        <v>0</v>
      </c>
      <c r="H111" s="11" t="e">
        <f t="shared" si="13"/>
        <v>#DIV/0!</v>
      </c>
      <c r="J111" s="127">
        <f t="shared" si="16"/>
        <v>0</v>
      </c>
      <c r="K111" s="127">
        <f t="shared" si="17"/>
        <v>0</v>
      </c>
      <c r="L111" s="7">
        <f t="shared" si="18"/>
        <v>0</v>
      </c>
      <c r="M111" s="7">
        <f t="shared" si="19"/>
        <v>0</v>
      </c>
      <c r="N111" s="7">
        <f t="shared" si="20"/>
        <v>0</v>
      </c>
      <c r="O111" s="7">
        <f t="shared" si="21"/>
        <v>0</v>
      </c>
    </row>
    <row r="112" spans="1:15" s="6" customFormat="1" x14ac:dyDescent="0.2">
      <c r="A112" s="6">
        <f t="shared" si="14"/>
        <v>108</v>
      </c>
      <c r="B112" s="128">
        <f t="shared" si="15"/>
        <v>0</v>
      </c>
      <c r="C112" s="128">
        <f t="shared" si="11"/>
        <v>0</v>
      </c>
      <c r="D112" s="128">
        <f t="shared" si="12"/>
        <v>0</v>
      </c>
      <c r="E112" s="128">
        <f>SUM(C$5:C112)</f>
        <v>0</v>
      </c>
      <c r="F112" s="128">
        <f>SUM(D$5:D112)</f>
        <v>0</v>
      </c>
      <c r="G112" s="128">
        <f>$D$1-'Amort Schedule - Flip'!F112</f>
        <v>0</v>
      </c>
      <c r="H112" s="124" t="e">
        <f t="shared" si="13"/>
        <v>#DIV/0!</v>
      </c>
      <c r="J112" s="131">
        <f t="shared" si="16"/>
        <v>0</v>
      </c>
      <c r="K112" s="131">
        <f t="shared" si="17"/>
        <v>0</v>
      </c>
      <c r="L112" s="128">
        <f t="shared" si="18"/>
        <v>0</v>
      </c>
      <c r="M112" s="128">
        <f t="shared" si="19"/>
        <v>0</v>
      </c>
      <c r="N112" s="128">
        <f t="shared" si="20"/>
        <v>0</v>
      </c>
      <c r="O112" s="128">
        <f t="shared" si="21"/>
        <v>0</v>
      </c>
    </row>
    <row r="113" spans="1:15" x14ac:dyDescent="0.2">
      <c r="A113">
        <f t="shared" si="14"/>
        <v>109</v>
      </c>
      <c r="B113" s="7">
        <f t="shared" si="15"/>
        <v>0</v>
      </c>
      <c r="C113" s="7">
        <f t="shared" si="11"/>
        <v>0</v>
      </c>
      <c r="D113" s="7">
        <f t="shared" si="12"/>
        <v>0</v>
      </c>
      <c r="E113" s="7">
        <f>SUM(C$5:C113)</f>
        <v>0</v>
      </c>
      <c r="F113" s="7">
        <f>SUM(D$5:D113)</f>
        <v>0</v>
      </c>
      <c r="G113" s="7">
        <f>$D$1-'Amort Schedule - Flip'!F113</f>
        <v>0</v>
      </c>
      <c r="H113" s="11" t="e">
        <f t="shared" si="13"/>
        <v>#DIV/0!</v>
      </c>
      <c r="J113" s="127">
        <f t="shared" si="16"/>
        <v>0</v>
      </c>
      <c r="K113" s="127">
        <f t="shared" si="17"/>
        <v>0</v>
      </c>
      <c r="L113" s="7">
        <f t="shared" si="18"/>
        <v>0</v>
      </c>
      <c r="M113" s="7">
        <f t="shared" si="19"/>
        <v>0</v>
      </c>
      <c r="N113" s="7">
        <f t="shared" si="20"/>
        <v>0</v>
      </c>
      <c r="O113" s="7">
        <f t="shared" si="21"/>
        <v>0</v>
      </c>
    </row>
    <row r="114" spans="1:15" x14ac:dyDescent="0.2">
      <c r="A114">
        <f t="shared" si="14"/>
        <v>110</v>
      </c>
      <c r="B114" s="7">
        <f t="shared" si="15"/>
        <v>0</v>
      </c>
      <c r="C114" s="7">
        <f t="shared" si="11"/>
        <v>0</v>
      </c>
      <c r="D114" s="7">
        <f t="shared" si="12"/>
        <v>0</v>
      </c>
      <c r="E114" s="7">
        <f>SUM(C$5:C114)</f>
        <v>0</v>
      </c>
      <c r="F114" s="7">
        <f>SUM(D$5:D114)</f>
        <v>0</v>
      </c>
      <c r="G114" s="7">
        <f>$D$1-'Amort Schedule - Flip'!F114</f>
        <v>0</v>
      </c>
      <c r="H114" s="11" t="e">
        <f t="shared" si="13"/>
        <v>#DIV/0!</v>
      </c>
      <c r="J114" s="127">
        <f t="shared" si="16"/>
        <v>0</v>
      </c>
      <c r="K114" s="127">
        <f t="shared" si="17"/>
        <v>0</v>
      </c>
      <c r="L114" s="7">
        <f t="shared" si="18"/>
        <v>0</v>
      </c>
      <c r="M114" s="7">
        <f t="shared" si="19"/>
        <v>0</v>
      </c>
      <c r="N114" s="7">
        <f t="shared" si="20"/>
        <v>0</v>
      </c>
      <c r="O114" s="7">
        <f t="shared" si="21"/>
        <v>0</v>
      </c>
    </row>
    <row r="115" spans="1:15" x14ac:dyDescent="0.2">
      <c r="A115">
        <f t="shared" si="14"/>
        <v>111</v>
      </c>
      <c r="B115" s="7">
        <f t="shared" si="15"/>
        <v>0</v>
      </c>
      <c r="C115" s="7">
        <f t="shared" si="11"/>
        <v>0</v>
      </c>
      <c r="D115" s="7">
        <f t="shared" si="12"/>
        <v>0</v>
      </c>
      <c r="E115" s="7">
        <f>SUM(C$5:C115)</f>
        <v>0</v>
      </c>
      <c r="F115" s="7">
        <f>SUM(D$5:D115)</f>
        <v>0</v>
      </c>
      <c r="G115" s="7">
        <f>$D$1-'Amort Schedule - Flip'!F115</f>
        <v>0</v>
      </c>
      <c r="H115" s="11" t="e">
        <f t="shared" si="13"/>
        <v>#DIV/0!</v>
      </c>
      <c r="J115" s="127">
        <f t="shared" si="16"/>
        <v>0</v>
      </c>
      <c r="K115" s="127">
        <f t="shared" si="17"/>
        <v>0</v>
      </c>
      <c r="L115" s="7">
        <f t="shared" si="18"/>
        <v>0</v>
      </c>
      <c r="M115" s="7">
        <f t="shared" si="19"/>
        <v>0</v>
      </c>
      <c r="N115" s="7">
        <f t="shared" si="20"/>
        <v>0</v>
      </c>
      <c r="O115" s="7">
        <f t="shared" si="21"/>
        <v>0</v>
      </c>
    </row>
    <row r="116" spans="1:15" x14ac:dyDescent="0.2">
      <c r="A116">
        <f t="shared" si="14"/>
        <v>112</v>
      </c>
      <c r="B116" s="7">
        <f t="shared" si="15"/>
        <v>0</v>
      </c>
      <c r="C116" s="7">
        <f t="shared" si="11"/>
        <v>0</v>
      </c>
      <c r="D116" s="7">
        <f t="shared" si="12"/>
        <v>0</v>
      </c>
      <c r="E116" s="7">
        <f>SUM(C$5:C116)</f>
        <v>0</v>
      </c>
      <c r="F116" s="7">
        <f>SUM(D$5:D116)</f>
        <v>0</v>
      </c>
      <c r="G116" s="7">
        <f>$D$1-'Amort Schedule - Flip'!F116</f>
        <v>0</v>
      </c>
      <c r="H116" s="11" t="e">
        <f t="shared" si="13"/>
        <v>#DIV/0!</v>
      </c>
      <c r="J116" s="127">
        <f t="shared" si="16"/>
        <v>0</v>
      </c>
      <c r="K116" s="127">
        <f t="shared" si="17"/>
        <v>0</v>
      </c>
      <c r="L116" s="7">
        <f t="shared" si="18"/>
        <v>0</v>
      </c>
      <c r="M116" s="7">
        <f t="shared" si="19"/>
        <v>0</v>
      </c>
      <c r="N116" s="7">
        <f t="shared" si="20"/>
        <v>0</v>
      </c>
      <c r="O116" s="7">
        <f t="shared" si="21"/>
        <v>0</v>
      </c>
    </row>
    <row r="117" spans="1:15" x14ac:dyDescent="0.2">
      <c r="A117">
        <f t="shared" si="14"/>
        <v>113</v>
      </c>
      <c r="B117" s="7">
        <f t="shared" si="15"/>
        <v>0</v>
      </c>
      <c r="C117" s="7">
        <f t="shared" si="11"/>
        <v>0</v>
      </c>
      <c r="D117" s="7">
        <f t="shared" si="12"/>
        <v>0</v>
      </c>
      <c r="E117" s="7">
        <f>SUM(C$5:C117)</f>
        <v>0</v>
      </c>
      <c r="F117" s="7">
        <f>SUM(D$5:D117)</f>
        <v>0</v>
      </c>
      <c r="G117" s="7">
        <f>$D$1-'Amort Schedule - Flip'!F117</f>
        <v>0</v>
      </c>
      <c r="H117" s="11" t="e">
        <f t="shared" si="13"/>
        <v>#DIV/0!</v>
      </c>
      <c r="J117" s="127">
        <f t="shared" si="16"/>
        <v>0</v>
      </c>
      <c r="K117" s="127">
        <f t="shared" si="17"/>
        <v>0</v>
      </c>
      <c r="L117" s="7">
        <f t="shared" si="18"/>
        <v>0</v>
      </c>
      <c r="M117" s="7">
        <f t="shared" si="19"/>
        <v>0</v>
      </c>
      <c r="N117" s="7">
        <f t="shared" si="20"/>
        <v>0</v>
      </c>
      <c r="O117" s="7">
        <f t="shared" si="21"/>
        <v>0</v>
      </c>
    </row>
    <row r="118" spans="1:15" x14ac:dyDescent="0.2">
      <c r="A118">
        <f t="shared" si="14"/>
        <v>114</v>
      </c>
      <c r="B118" s="7">
        <f t="shared" si="15"/>
        <v>0</v>
      </c>
      <c r="C118" s="7">
        <f t="shared" si="11"/>
        <v>0</v>
      </c>
      <c r="D118" s="7">
        <f t="shared" si="12"/>
        <v>0</v>
      </c>
      <c r="E118" s="7">
        <f>SUM(C$5:C118)</f>
        <v>0</v>
      </c>
      <c r="F118" s="7">
        <f>SUM(D$5:D118)</f>
        <v>0</v>
      </c>
      <c r="G118" s="7">
        <f>$D$1-'Amort Schedule - Flip'!F118</f>
        <v>0</v>
      </c>
      <c r="H118" s="11" t="e">
        <f t="shared" si="13"/>
        <v>#DIV/0!</v>
      </c>
      <c r="J118" s="127">
        <f t="shared" si="16"/>
        <v>0</v>
      </c>
      <c r="K118" s="127">
        <f t="shared" si="17"/>
        <v>0</v>
      </c>
      <c r="L118" s="7">
        <f t="shared" si="18"/>
        <v>0</v>
      </c>
      <c r="M118" s="7">
        <f t="shared" si="19"/>
        <v>0</v>
      </c>
      <c r="N118" s="7">
        <f t="shared" si="20"/>
        <v>0</v>
      </c>
      <c r="O118" s="7">
        <f t="shared" si="21"/>
        <v>0</v>
      </c>
    </row>
    <row r="119" spans="1:15" x14ac:dyDescent="0.2">
      <c r="A119">
        <f t="shared" si="14"/>
        <v>115</v>
      </c>
      <c r="B119" s="7">
        <f t="shared" si="15"/>
        <v>0</v>
      </c>
      <c r="C119" s="7">
        <f t="shared" si="11"/>
        <v>0</v>
      </c>
      <c r="D119" s="7">
        <f t="shared" si="12"/>
        <v>0</v>
      </c>
      <c r="E119" s="7">
        <f>SUM(C$5:C119)</f>
        <v>0</v>
      </c>
      <c r="F119" s="7">
        <f>SUM(D$5:D119)</f>
        <v>0</v>
      </c>
      <c r="G119" s="7">
        <f>$D$1-'Amort Schedule - Flip'!F119</f>
        <v>0</v>
      </c>
      <c r="H119" s="11" t="e">
        <f t="shared" si="13"/>
        <v>#DIV/0!</v>
      </c>
      <c r="J119" s="127">
        <f t="shared" si="16"/>
        <v>0</v>
      </c>
      <c r="K119" s="127">
        <f t="shared" si="17"/>
        <v>0</v>
      </c>
      <c r="L119" s="7">
        <f t="shared" si="18"/>
        <v>0</v>
      </c>
      <c r="M119" s="7">
        <f t="shared" si="19"/>
        <v>0</v>
      </c>
      <c r="N119" s="7">
        <f t="shared" si="20"/>
        <v>0</v>
      </c>
      <c r="O119" s="7">
        <f t="shared" si="21"/>
        <v>0</v>
      </c>
    </row>
    <row r="120" spans="1:15" x14ac:dyDescent="0.2">
      <c r="A120">
        <f t="shared" si="14"/>
        <v>116</v>
      </c>
      <c r="B120" s="7">
        <f t="shared" si="15"/>
        <v>0</v>
      </c>
      <c r="C120" s="7">
        <f t="shared" si="11"/>
        <v>0</v>
      </c>
      <c r="D120" s="7">
        <f t="shared" si="12"/>
        <v>0</v>
      </c>
      <c r="E120" s="7">
        <f>SUM(C$5:C120)</f>
        <v>0</v>
      </c>
      <c r="F120" s="7">
        <f>SUM(D$5:D120)</f>
        <v>0</v>
      </c>
      <c r="G120" s="7">
        <f>$D$1-'Amort Schedule - Flip'!F120</f>
        <v>0</v>
      </c>
      <c r="H120" s="11" t="e">
        <f t="shared" si="13"/>
        <v>#DIV/0!</v>
      </c>
      <c r="J120" s="127">
        <f t="shared" si="16"/>
        <v>0</v>
      </c>
      <c r="K120" s="127">
        <f t="shared" si="17"/>
        <v>0</v>
      </c>
      <c r="L120" s="7">
        <f t="shared" si="18"/>
        <v>0</v>
      </c>
      <c r="M120" s="7">
        <f t="shared" si="19"/>
        <v>0</v>
      </c>
      <c r="N120" s="7">
        <f t="shared" si="20"/>
        <v>0</v>
      </c>
      <c r="O120" s="7">
        <f t="shared" si="21"/>
        <v>0</v>
      </c>
    </row>
    <row r="121" spans="1:15" x14ac:dyDescent="0.2">
      <c r="A121">
        <f t="shared" si="14"/>
        <v>117</v>
      </c>
      <c r="B121" s="7">
        <f t="shared" si="15"/>
        <v>0</v>
      </c>
      <c r="C121" s="7">
        <f t="shared" si="11"/>
        <v>0</v>
      </c>
      <c r="D121" s="7">
        <f t="shared" si="12"/>
        <v>0</v>
      </c>
      <c r="E121" s="7">
        <f>SUM(C$5:C121)</f>
        <v>0</v>
      </c>
      <c r="F121" s="7">
        <f>SUM(D$5:D121)</f>
        <v>0</v>
      </c>
      <c r="G121" s="7">
        <f>$D$1-'Amort Schedule - Flip'!F121</f>
        <v>0</v>
      </c>
      <c r="H121" s="11" t="e">
        <f t="shared" si="13"/>
        <v>#DIV/0!</v>
      </c>
      <c r="J121" s="127">
        <f t="shared" si="16"/>
        <v>0</v>
      </c>
      <c r="K121" s="127">
        <f t="shared" si="17"/>
        <v>0</v>
      </c>
      <c r="L121" s="7">
        <f t="shared" si="18"/>
        <v>0</v>
      </c>
      <c r="M121" s="7">
        <f t="shared" si="19"/>
        <v>0</v>
      </c>
      <c r="N121" s="7">
        <f t="shared" si="20"/>
        <v>0</v>
      </c>
      <c r="O121" s="7">
        <f t="shared" si="21"/>
        <v>0</v>
      </c>
    </row>
    <row r="122" spans="1:15" x14ac:dyDescent="0.2">
      <c r="A122">
        <f t="shared" si="14"/>
        <v>118</v>
      </c>
      <c r="B122" s="7">
        <f t="shared" si="15"/>
        <v>0</v>
      </c>
      <c r="C122" s="7">
        <f t="shared" si="11"/>
        <v>0</v>
      </c>
      <c r="D122" s="7">
        <f t="shared" si="12"/>
        <v>0</v>
      </c>
      <c r="E122" s="7">
        <f>SUM(C$5:C122)</f>
        <v>0</v>
      </c>
      <c r="F122" s="7">
        <f>SUM(D$5:D122)</f>
        <v>0</v>
      </c>
      <c r="G122" s="7">
        <f>$D$1-'Amort Schedule - Flip'!F122</f>
        <v>0</v>
      </c>
      <c r="H122" s="11" t="e">
        <f t="shared" si="13"/>
        <v>#DIV/0!</v>
      </c>
      <c r="J122" s="127">
        <f t="shared" si="16"/>
        <v>0</v>
      </c>
      <c r="K122" s="127">
        <f t="shared" si="17"/>
        <v>0</v>
      </c>
      <c r="L122" s="7">
        <f t="shared" si="18"/>
        <v>0</v>
      </c>
      <c r="M122" s="7">
        <f t="shared" si="19"/>
        <v>0</v>
      </c>
      <c r="N122" s="7">
        <f t="shared" si="20"/>
        <v>0</v>
      </c>
      <c r="O122" s="7">
        <f t="shared" si="21"/>
        <v>0</v>
      </c>
    </row>
    <row r="123" spans="1:15" x14ac:dyDescent="0.2">
      <c r="A123">
        <f t="shared" si="14"/>
        <v>119</v>
      </c>
      <c r="B123" s="7">
        <f t="shared" si="15"/>
        <v>0</v>
      </c>
      <c r="C123" s="7">
        <f t="shared" si="11"/>
        <v>0</v>
      </c>
      <c r="D123" s="7">
        <f t="shared" si="12"/>
        <v>0</v>
      </c>
      <c r="E123" s="7">
        <f>SUM(C$5:C123)</f>
        <v>0</v>
      </c>
      <c r="F123" s="7">
        <f>SUM(D$5:D123)</f>
        <v>0</v>
      </c>
      <c r="G123" s="7">
        <f>$D$1-'Amort Schedule - Flip'!F123</f>
        <v>0</v>
      </c>
      <c r="H123" s="11" t="e">
        <f t="shared" si="13"/>
        <v>#DIV/0!</v>
      </c>
      <c r="J123" s="127">
        <f t="shared" si="16"/>
        <v>0</v>
      </c>
      <c r="K123" s="127">
        <f t="shared" si="17"/>
        <v>0</v>
      </c>
      <c r="L123" s="7">
        <f t="shared" si="18"/>
        <v>0</v>
      </c>
      <c r="M123" s="7">
        <f t="shared" si="19"/>
        <v>0</v>
      </c>
      <c r="N123" s="7">
        <f t="shared" si="20"/>
        <v>0</v>
      </c>
      <c r="O123" s="7">
        <f t="shared" si="21"/>
        <v>0</v>
      </c>
    </row>
    <row r="124" spans="1:15" s="6" customFormat="1" x14ac:dyDescent="0.2">
      <c r="A124" s="6">
        <f t="shared" si="14"/>
        <v>120</v>
      </c>
      <c r="B124" s="128">
        <f t="shared" si="15"/>
        <v>0</v>
      </c>
      <c r="C124" s="128">
        <f t="shared" si="11"/>
        <v>0</v>
      </c>
      <c r="D124" s="128">
        <f t="shared" si="12"/>
        <v>0</v>
      </c>
      <c r="E124" s="128">
        <f>SUM(C$5:C124)</f>
        <v>0</v>
      </c>
      <c r="F124" s="128">
        <f>SUM(D$5:D124)</f>
        <v>0</v>
      </c>
      <c r="G124" s="128">
        <f>$D$1-'Amort Schedule - Flip'!F124</f>
        <v>0</v>
      </c>
      <c r="H124" s="124" t="e">
        <f t="shared" si="13"/>
        <v>#DIV/0!</v>
      </c>
      <c r="J124" s="131">
        <f t="shared" si="16"/>
        <v>0</v>
      </c>
      <c r="K124" s="131">
        <f t="shared" si="17"/>
        <v>0</v>
      </c>
      <c r="L124" s="128">
        <f t="shared" si="18"/>
        <v>0</v>
      </c>
      <c r="M124" s="128">
        <f t="shared" si="19"/>
        <v>0</v>
      </c>
      <c r="N124" s="128">
        <f t="shared" si="20"/>
        <v>0</v>
      </c>
      <c r="O124" s="128">
        <f t="shared" si="21"/>
        <v>0</v>
      </c>
    </row>
    <row r="125" spans="1:15" x14ac:dyDescent="0.2">
      <c r="A125">
        <f t="shared" si="14"/>
        <v>121</v>
      </c>
      <c r="B125" s="7">
        <f t="shared" si="15"/>
        <v>0</v>
      </c>
      <c r="C125" s="7">
        <f t="shared" si="11"/>
        <v>0</v>
      </c>
      <c r="D125" s="7">
        <f t="shared" si="12"/>
        <v>0</v>
      </c>
      <c r="E125" s="7">
        <f>SUM(C$5:C125)</f>
        <v>0</v>
      </c>
      <c r="F125" s="7">
        <f>SUM(D$5:D125)</f>
        <v>0</v>
      </c>
      <c r="G125" s="7">
        <f>$D$1-'Amort Schedule - Flip'!F125</f>
        <v>0</v>
      </c>
      <c r="H125" s="11" t="e">
        <f t="shared" si="13"/>
        <v>#DIV/0!</v>
      </c>
      <c r="J125" s="127">
        <f t="shared" si="16"/>
        <v>0</v>
      </c>
      <c r="K125" s="127">
        <f t="shared" si="17"/>
        <v>0</v>
      </c>
      <c r="L125" s="7">
        <f t="shared" si="18"/>
        <v>0</v>
      </c>
      <c r="M125" s="7">
        <f t="shared" si="19"/>
        <v>0</v>
      </c>
      <c r="N125" s="7">
        <f t="shared" si="20"/>
        <v>0</v>
      </c>
      <c r="O125" s="7">
        <f t="shared" si="21"/>
        <v>0</v>
      </c>
    </row>
    <row r="126" spans="1:15" x14ac:dyDescent="0.2">
      <c r="A126">
        <f t="shared" si="14"/>
        <v>122</v>
      </c>
      <c r="B126" s="7">
        <f t="shared" si="15"/>
        <v>0</v>
      </c>
      <c r="C126" s="7">
        <f t="shared" si="11"/>
        <v>0</v>
      </c>
      <c r="D126" s="7">
        <f t="shared" si="12"/>
        <v>0</v>
      </c>
      <c r="E126" s="7">
        <f>SUM(C$5:C126)</f>
        <v>0</v>
      </c>
      <c r="F126" s="7">
        <f>SUM(D$5:D126)</f>
        <v>0</v>
      </c>
      <c r="G126" s="7">
        <f>$D$1-'Amort Schedule - Flip'!F126</f>
        <v>0</v>
      </c>
      <c r="H126" s="11" t="e">
        <f t="shared" si="13"/>
        <v>#DIV/0!</v>
      </c>
      <c r="J126" s="127">
        <f t="shared" si="16"/>
        <v>0</v>
      </c>
      <c r="K126" s="127">
        <f t="shared" si="17"/>
        <v>0</v>
      </c>
      <c r="L126" s="7">
        <f t="shared" si="18"/>
        <v>0</v>
      </c>
      <c r="M126" s="7">
        <f t="shared" si="19"/>
        <v>0</v>
      </c>
      <c r="N126" s="7">
        <f t="shared" si="20"/>
        <v>0</v>
      </c>
      <c r="O126" s="7">
        <f t="shared" si="21"/>
        <v>0</v>
      </c>
    </row>
    <row r="127" spans="1:15" x14ac:dyDescent="0.2">
      <c r="A127">
        <f t="shared" si="14"/>
        <v>123</v>
      </c>
      <c r="B127" s="7">
        <f t="shared" si="15"/>
        <v>0</v>
      </c>
      <c r="C127" s="7">
        <f t="shared" si="11"/>
        <v>0</v>
      </c>
      <c r="D127" s="7">
        <f t="shared" si="12"/>
        <v>0</v>
      </c>
      <c r="E127" s="7">
        <f>SUM(C$5:C127)</f>
        <v>0</v>
      </c>
      <c r="F127" s="7">
        <f>SUM(D$5:D127)</f>
        <v>0</v>
      </c>
      <c r="G127" s="7">
        <f>$D$1-'Amort Schedule - Flip'!F127</f>
        <v>0</v>
      </c>
      <c r="H127" s="11" t="e">
        <f t="shared" si="13"/>
        <v>#DIV/0!</v>
      </c>
      <c r="J127" s="127">
        <f t="shared" si="16"/>
        <v>0</v>
      </c>
      <c r="K127" s="127">
        <f t="shared" si="17"/>
        <v>0</v>
      </c>
      <c r="L127" s="7">
        <f t="shared" si="18"/>
        <v>0</v>
      </c>
      <c r="M127" s="7">
        <f t="shared" si="19"/>
        <v>0</v>
      </c>
      <c r="N127" s="7">
        <f t="shared" si="20"/>
        <v>0</v>
      </c>
      <c r="O127" s="7">
        <f t="shared" si="21"/>
        <v>0</v>
      </c>
    </row>
    <row r="128" spans="1:15" x14ac:dyDescent="0.2">
      <c r="A128">
        <f t="shared" si="14"/>
        <v>124</v>
      </c>
      <c r="B128" s="7">
        <f t="shared" si="15"/>
        <v>0</v>
      </c>
      <c r="C128" s="7">
        <f t="shared" si="11"/>
        <v>0</v>
      </c>
      <c r="D128" s="7">
        <f t="shared" si="12"/>
        <v>0</v>
      </c>
      <c r="E128" s="7">
        <f>SUM(C$5:C128)</f>
        <v>0</v>
      </c>
      <c r="F128" s="7">
        <f>SUM(D$5:D128)</f>
        <v>0</v>
      </c>
      <c r="G128" s="7">
        <f>$D$1-'Amort Schedule - Flip'!F128</f>
        <v>0</v>
      </c>
      <c r="H128" s="11" t="e">
        <f t="shared" si="13"/>
        <v>#DIV/0!</v>
      </c>
      <c r="J128" s="127">
        <f t="shared" si="16"/>
        <v>0</v>
      </c>
      <c r="K128" s="127">
        <f t="shared" si="17"/>
        <v>0</v>
      </c>
      <c r="L128" s="7">
        <f t="shared" si="18"/>
        <v>0</v>
      </c>
      <c r="M128" s="7">
        <f t="shared" si="19"/>
        <v>0</v>
      </c>
      <c r="N128" s="7">
        <f t="shared" si="20"/>
        <v>0</v>
      </c>
      <c r="O128" s="7">
        <f t="shared" si="21"/>
        <v>0</v>
      </c>
    </row>
    <row r="129" spans="1:15" x14ac:dyDescent="0.2">
      <c r="A129">
        <f t="shared" si="14"/>
        <v>125</v>
      </c>
      <c r="B129" s="7">
        <f t="shared" si="15"/>
        <v>0</v>
      </c>
      <c r="C129" s="7">
        <f t="shared" si="11"/>
        <v>0</v>
      </c>
      <c r="D129" s="7">
        <f t="shared" si="12"/>
        <v>0</v>
      </c>
      <c r="E129" s="7">
        <f>SUM(C$5:C129)</f>
        <v>0</v>
      </c>
      <c r="F129" s="7">
        <f>SUM(D$5:D129)</f>
        <v>0</v>
      </c>
      <c r="G129" s="7">
        <f>$D$1-'Amort Schedule - Flip'!F129</f>
        <v>0</v>
      </c>
      <c r="H129" s="11" t="e">
        <f t="shared" si="13"/>
        <v>#DIV/0!</v>
      </c>
      <c r="J129" s="127">
        <f t="shared" si="16"/>
        <v>0</v>
      </c>
      <c r="K129" s="127">
        <f t="shared" si="17"/>
        <v>0</v>
      </c>
      <c r="L129" s="7">
        <f t="shared" si="18"/>
        <v>0</v>
      </c>
      <c r="M129" s="7">
        <f t="shared" si="19"/>
        <v>0</v>
      </c>
      <c r="N129" s="7">
        <f t="shared" si="20"/>
        <v>0</v>
      </c>
      <c r="O129" s="7">
        <f t="shared" si="21"/>
        <v>0</v>
      </c>
    </row>
    <row r="130" spans="1:15" x14ac:dyDescent="0.2">
      <c r="A130">
        <f t="shared" si="14"/>
        <v>126</v>
      </c>
      <c r="B130" s="7">
        <f t="shared" si="15"/>
        <v>0</v>
      </c>
      <c r="C130" s="7">
        <f t="shared" si="11"/>
        <v>0</v>
      </c>
      <c r="D130" s="7">
        <f t="shared" si="12"/>
        <v>0</v>
      </c>
      <c r="E130" s="7">
        <f>SUM(C$5:C130)</f>
        <v>0</v>
      </c>
      <c r="F130" s="7">
        <f>SUM(D$5:D130)</f>
        <v>0</v>
      </c>
      <c r="G130" s="7">
        <f>$D$1-'Amort Schedule - Flip'!F130</f>
        <v>0</v>
      </c>
      <c r="H130" s="11" t="e">
        <f t="shared" si="13"/>
        <v>#DIV/0!</v>
      </c>
      <c r="J130" s="127">
        <f t="shared" si="16"/>
        <v>0</v>
      </c>
      <c r="K130" s="127">
        <f t="shared" si="17"/>
        <v>0</v>
      </c>
      <c r="L130" s="7">
        <f t="shared" si="18"/>
        <v>0</v>
      </c>
      <c r="M130" s="7">
        <f t="shared" si="19"/>
        <v>0</v>
      </c>
      <c r="N130" s="7">
        <f t="shared" si="20"/>
        <v>0</v>
      </c>
      <c r="O130" s="7">
        <f t="shared" si="21"/>
        <v>0</v>
      </c>
    </row>
    <row r="131" spans="1:15" x14ac:dyDescent="0.2">
      <c r="A131">
        <f t="shared" si="14"/>
        <v>127</v>
      </c>
      <c r="B131" s="7">
        <f t="shared" si="15"/>
        <v>0</v>
      </c>
      <c r="C131" s="7">
        <f t="shared" si="11"/>
        <v>0</v>
      </c>
      <c r="D131" s="7">
        <f t="shared" si="12"/>
        <v>0</v>
      </c>
      <c r="E131" s="7">
        <f>SUM(C$5:C131)</f>
        <v>0</v>
      </c>
      <c r="F131" s="7">
        <f>SUM(D$5:D131)</f>
        <v>0</v>
      </c>
      <c r="G131" s="7">
        <f>$D$1-'Amort Schedule - Flip'!F131</f>
        <v>0</v>
      </c>
      <c r="H131" s="11" t="e">
        <f t="shared" si="13"/>
        <v>#DIV/0!</v>
      </c>
      <c r="J131" s="127">
        <f t="shared" si="16"/>
        <v>0</v>
      </c>
      <c r="K131" s="127">
        <f t="shared" si="17"/>
        <v>0</v>
      </c>
      <c r="L131" s="7">
        <f t="shared" si="18"/>
        <v>0</v>
      </c>
      <c r="M131" s="7">
        <f t="shared" si="19"/>
        <v>0</v>
      </c>
      <c r="N131" s="7">
        <f t="shared" si="20"/>
        <v>0</v>
      </c>
      <c r="O131" s="7">
        <f t="shared" si="21"/>
        <v>0</v>
      </c>
    </row>
    <row r="132" spans="1:15" x14ac:dyDescent="0.2">
      <c r="A132">
        <f t="shared" si="14"/>
        <v>128</v>
      </c>
      <c r="B132" s="7">
        <f t="shared" si="15"/>
        <v>0</v>
      </c>
      <c r="C132" s="7">
        <f t="shared" si="11"/>
        <v>0</v>
      </c>
      <c r="D132" s="7">
        <f t="shared" si="12"/>
        <v>0</v>
      </c>
      <c r="E132" s="7">
        <f>SUM(C$5:C132)</f>
        <v>0</v>
      </c>
      <c r="F132" s="7">
        <f>SUM(D$5:D132)</f>
        <v>0</v>
      </c>
      <c r="G132" s="7">
        <f>$D$1-'Amort Schedule - Flip'!F132</f>
        <v>0</v>
      </c>
      <c r="H132" s="11" t="e">
        <f t="shared" si="13"/>
        <v>#DIV/0!</v>
      </c>
      <c r="J132" s="127">
        <f t="shared" si="16"/>
        <v>0</v>
      </c>
      <c r="K132" s="127">
        <f t="shared" si="17"/>
        <v>0</v>
      </c>
      <c r="L132" s="7">
        <f t="shared" si="18"/>
        <v>0</v>
      </c>
      <c r="M132" s="7">
        <f t="shared" si="19"/>
        <v>0</v>
      </c>
      <c r="N132" s="7">
        <f t="shared" si="20"/>
        <v>0</v>
      </c>
      <c r="O132" s="7">
        <f t="shared" si="21"/>
        <v>0</v>
      </c>
    </row>
    <row r="133" spans="1:15" x14ac:dyDescent="0.2">
      <c r="A133">
        <f t="shared" si="14"/>
        <v>129</v>
      </c>
      <c r="B133" s="7">
        <f t="shared" si="15"/>
        <v>0</v>
      </c>
      <c r="C133" s="7">
        <f t="shared" si="11"/>
        <v>0</v>
      </c>
      <c r="D133" s="7">
        <f t="shared" si="12"/>
        <v>0</v>
      </c>
      <c r="E133" s="7">
        <f>SUM(C$5:C133)</f>
        <v>0</v>
      </c>
      <c r="F133" s="7">
        <f>SUM(D$5:D133)</f>
        <v>0</v>
      </c>
      <c r="G133" s="7">
        <f>$D$1-'Amort Schedule - Flip'!F133</f>
        <v>0</v>
      </c>
      <c r="H133" s="11" t="e">
        <f t="shared" si="13"/>
        <v>#DIV/0!</v>
      </c>
      <c r="J133" s="127">
        <f t="shared" si="16"/>
        <v>0</v>
      </c>
      <c r="K133" s="127">
        <f t="shared" si="17"/>
        <v>0</v>
      </c>
      <c r="L133" s="7">
        <f t="shared" si="18"/>
        <v>0</v>
      </c>
      <c r="M133" s="7">
        <f t="shared" si="19"/>
        <v>0</v>
      </c>
      <c r="N133" s="7">
        <f t="shared" si="20"/>
        <v>0</v>
      </c>
      <c r="O133" s="7">
        <f t="shared" si="21"/>
        <v>0</v>
      </c>
    </row>
    <row r="134" spans="1:15" x14ac:dyDescent="0.2">
      <c r="A134">
        <f t="shared" si="14"/>
        <v>130</v>
      </c>
      <c r="B134" s="7">
        <f t="shared" si="15"/>
        <v>0</v>
      </c>
      <c r="C134" s="7">
        <f t="shared" ref="C134:C197" si="22">-IPMT($D$2/12,A134,$D$3,$D$1)</f>
        <v>0</v>
      </c>
      <c r="D134" s="7">
        <f t="shared" ref="D134:D197" si="23">-PPMT($D$2/12,A134,$D$3,$D$1)</f>
        <v>0</v>
      </c>
      <c r="E134" s="7">
        <f>SUM(C$5:C134)</f>
        <v>0</v>
      </c>
      <c r="F134" s="7">
        <f>SUM(D$5:D134)</f>
        <v>0</v>
      </c>
      <c r="G134" s="7">
        <f>$D$1-'Amort Schedule - Flip'!F134</f>
        <v>0</v>
      </c>
      <c r="H134" s="11" t="e">
        <f t="shared" ref="H134:H197" si="24">G134/$D$1</f>
        <v>#DIV/0!</v>
      </c>
      <c r="J134" s="127">
        <f t="shared" si="16"/>
        <v>0</v>
      </c>
      <c r="K134" s="127">
        <f t="shared" si="17"/>
        <v>0</v>
      </c>
      <c r="L134" s="7">
        <f t="shared" si="18"/>
        <v>0</v>
      </c>
      <c r="M134" s="7">
        <f t="shared" si="19"/>
        <v>0</v>
      </c>
      <c r="N134" s="7">
        <f t="shared" si="20"/>
        <v>0</v>
      </c>
      <c r="O134" s="7">
        <f t="shared" si="21"/>
        <v>0</v>
      </c>
    </row>
    <row r="135" spans="1:15" x14ac:dyDescent="0.2">
      <c r="A135">
        <f t="shared" ref="A135:A198" si="25">A134+1</f>
        <v>131</v>
      </c>
      <c r="B135" s="7">
        <f t="shared" ref="B135:B198" si="26">B134</f>
        <v>0</v>
      </c>
      <c r="C135" s="7">
        <f t="shared" si="22"/>
        <v>0</v>
      </c>
      <c r="D135" s="7">
        <f t="shared" si="23"/>
        <v>0</v>
      </c>
      <c r="E135" s="7">
        <f>SUM(C$5:C135)</f>
        <v>0</v>
      </c>
      <c r="F135" s="7">
        <f>SUM(D$5:D135)</f>
        <v>0</v>
      </c>
      <c r="G135" s="7">
        <f>$D$1-'Amort Schedule - Flip'!F135</f>
        <v>0</v>
      </c>
      <c r="H135" s="11" t="e">
        <f t="shared" si="24"/>
        <v>#DIV/0!</v>
      </c>
      <c r="J135" s="127">
        <f t="shared" ref="J135:J198" si="27">J134</f>
        <v>0</v>
      </c>
      <c r="K135" s="127">
        <f t="shared" ref="K135:K198" si="28">J135+K134</f>
        <v>0</v>
      </c>
      <c r="L135" s="7">
        <f t="shared" ref="L135:L198" si="29">B135-J135</f>
        <v>0</v>
      </c>
      <c r="M135" s="7">
        <f t="shared" ref="M135:M198" si="30">M134+L135</f>
        <v>0</v>
      </c>
      <c r="N135" s="7">
        <f t="shared" ref="N135:N198" si="31">C135-J135</f>
        <v>0</v>
      </c>
      <c r="O135" s="7">
        <f t="shared" ref="O135:O198" si="32">O134+N135</f>
        <v>0</v>
      </c>
    </row>
    <row r="136" spans="1:15" s="6" customFormat="1" x14ac:dyDescent="0.2">
      <c r="A136" s="6">
        <f t="shared" si="25"/>
        <v>132</v>
      </c>
      <c r="B136" s="128">
        <f t="shared" si="26"/>
        <v>0</v>
      </c>
      <c r="C136" s="128">
        <f t="shared" si="22"/>
        <v>0</v>
      </c>
      <c r="D136" s="128">
        <f t="shared" si="23"/>
        <v>0</v>
      </c>
      <c r="E136" s="128">
        <f>SUM(C$5:C136)</f>
        <v>0</v>
      </c>
      <c r="F136" s="128">
        <f>SUM(D$5:D136)</f>
        <v>0</v>
      </c>
      <c r="G136" s="128">
        <f>$D$1-'Amort Schedule - Flip'!F136</f>
        <v>0</v>
      </c>
      <c r="H136" s="124" t="e">
        <f t="shared" si="24"/>
        <v>#DIV/0!</v>
      </c>
      <c r="J136" s="127">
        <f t="shared" si="27"/>
        <v>0</v>
      </c>
      <c r="K136" s="127">
        <f t="shared" si="28"/>
        <v>0</v>
      </c>
      <c r="L136" s="7">
        <f t="shared" si="29"/>
        <v>0</v>
      </c>
      <c r="M136" s="7">
        <f t="shared" si="30"/>
        <v>0</v>
      </c>
      <c r="N136" s="7">
        <f t="shared" si="31"/>
        <v>0</v>
      </c>
      <c r="O136" s="7">
        <f t="shared" si="32"/>
        <v>0</v>
      </c>
    </row>
    <row r="137" spans="1:15" x14ac:dyDescent="0.2">
      <c r="A137">
        <f t="shared" si="25"/>
        <v>133</v>
      </c>
      <c r="B137" s="7">
        <f t="shared" si="26"/>
        <v>0</v>
      </c>
      <c r="C137" s="7">
        <f t="shared" si="22"/>
        <v>0</v>
      </c>
      <c r="D137" s="7">
        <f t="shared" si="23"/>
        <v>0</v>
      </c>
      <c r="E137" s="7">
        <f>SUM(C$5:C137)</f>
        <v>0</v>
      </c>
      <c r="F137" s="7">
        <f>SUM(D$5:D137)</f>
        <v>0</v>
      </c>
      <c r="G137" s="7">
        <f>$D$1-'Amort Schedule - Flip'!F137</f>
        <v>0</v>
      </c>
      <c r="H137" s="11" t="e">
        <f t="shared" si="24"/>
        <v>#DIV/0!</v>
      </c>
      <c r="J137" s="127">
        <f t="shared" si="27"/>
        <v>0</v>
      </c>
      <c r="K137" s="127">
        <f t="shared" si="28"/>
        <v>0</v>
      </c>
      <c r="L137" s="7">
        <f t="shared" si="29"/>
        <v>0</v>
      </c>
      <c r="M137" s="7">
        <f t="shared" si="30"/>
        <v>0</v>
      </c>
      <c r="N137" s="7">
        <f t="shared" si="31"/>
        <v>0</v>
      </c>
      <c r="O137" s="7">
        <f t="shared" si="32"/>
        <v>0</v>
      </c>
    </row>
    <row r="138" spans="1:15" x14ac:dyDescent="0.2">
      <c r="A138">
        <f t="shared" si="25"/>
        <v>134</v>
      </c>
      <c r="B138" s="7">
        <f t="shared" si="26"/>
        <v>0</v>
      </c>
      <c r="C138" s="7">
        <f t="shared" si="22"/>
        <v>0</v>
      </c>
      <c r="D138" s="7">
        <f t="shared" si="23"/>
        <v>0</v>
      </c>
      <c r="E138" s="7">
        <f>SUM(C$5:C138)</f>
        <v>0</v>
      </c>
      <c r="F138" s="7">
        <f>SUM(D$5:D138)</f>
        <v>0</v>
      </c>
      <c r="G138" s="7">
        <f>$D$1-'Amort Schedule - Flip'!F138</f>
        <v>0</v>
      </c>
      <c r="H138" s="11" t="e">
        <f t="shared" si="24"/>
        <v>#DIV/0!</v>
      </c>
      <c r="J138" s="127">
        <f t="shared" si="27"/>
        <v>0</v>
      </c>
      <c r="K138" s="127">
        <f t="shared" si="28"/>
        <v>0</v>
      </c>
      <c r="L138" s="7">
        <f t="shared" si="29"/>
        <v>0</v>
      </c>
      <c r="M138" s="7">
        <f t="shared" si="30"/>
        <v>0</v>
      </c>
      <c r="N138" s="7">
        <f t="shared" si="31"/>
        <v>0</v>
      </c>
      <c r="O138" s="7">
        <f t="shared" si="32"/>
        <v>0</v>
      </c>
    </row>
    <row r="139" spans="1:15" x14ac:dyDescent="0.2">
      <c r="A139">
        <f t="shared" si="25"/>
        <v>135</v>
      </c>
      <c r="B139" s="7">
        <f t="shared" si="26"/>
        <v>0</v>
      </c>
      <c r="C139" s="7">
        <f t="shared" si="22"/>
        <v>0</v>
      </c>
      <c r="D139" s="7">
        <f t="shared" si="23"/>
        <v>0</v>
      </c>
      <c r="E139" s="7">
        <f>SUM(C$5:C139)</f>
        <v>0</v>
      </c>
      <c r="F139" s="7">
        <f>SUM(D$5:D139)</f>
        <v>0</v>
      </c>
      <c r="G139" s="7">
        <f>$D$1-'Amort Schedule - Flip'!F139</f>
        <v>0</v>
      </c>
      <c r="H139" s="11" t="e">
        <f t="shared" si="24"/>
        <v>#DIV/0!</v>
      </c>
      <c r="J139" s="127">
        <f t="shared" si="27"/>
        <v>0</v>
      </c>
      <c r="K139" s="127">
        <f t="shared" si="28"/>
        <v>0</v>
      </c>
      <c r="L139" s="7">
        <f t="shared" si="29"/>
        <v>0</v>
      </c>
      <c r="M139" s="7">
        <f t="shared" si="30"/>
        <v>0</v>
      </c>
      <c r="N139" s="7">
        <f t="shared" si="31"/>
        <v>0</v>
      </c>
      <c r="O139" s="7">
        <f t="shared" si="32"/>
        <v>0</v>
      </c>
    </row>
    <row r="140" spans="1:15" x14ac:dyDescent="0.2">
      <c r="A140">
        <f t="shared" si="25"/>
        <v>136</v>
      </c>
      <c r="B140" s="7">
        <f t="shared" si="26"/>
        <v>0</v>
      </c>
      <c r="C140" s="7">
        <f t="shared" si="22"/>
        <v>0</v>
      </c>
      <c r="D140" s="7">
        <f t="shared" si="23"/>
        <v>0</v>
      </c>
      <c r="E140" s="7">
        <f>SUM(C$5:C140)</f>
        <v>0</v>
      </c>
      <c r="F140" s="7">
        <f>SUM(D$5:D140)</f>
        <v>0</v>
      </c>
      <c r="G140" s="7">
        <f>$D$1-'Amort Schedule - Flip'!F140</f>
        <v>0</v>
      </c>
      <c r="H140" s="11" t="e">
        <f t="shared" si="24"/>
        <v>#DIV/0!</v>
      </c>
      <c r="J140" s="127">
        <f t="shared" si="27"/>
        <v>0</v>
      </c>
      <c r="K140" s="127">
        <f t="shared" si="28"/>
        <v>0</v>
      </c>
      <c r="L140" s="7">
        <f t="shared" si="29"/>
        <v>0</v>
      </c>
      <c r="M140" s="7">
        <f t="shared" si="30"/>
        <v>0</v>
      </c>
      <c r="N140" s="7">
        <f t="shared" si="31"/>
        <v>0</v>
      </c>
      <c r="O140" s="7">
        <f t="shared" si="32"/>
        <v>0</v>
      </c>
    </row>
    <row r="141" spans="1:15" x14ac:dyDescent="0.2">
      <c r="A141">
        <f t="shared" si="25"/>
        <v>137</v>
      </c>
      <c r="B141" s="7">
        <f t="shared" si="26"/>
        <v>0</v>
      </c>
      <c r="C141" s="7">
        <f t="shared" si="22"/>
        <v>0</v>
      </c>
      <c r="D141" s="7">
        <f t="shared" si="23"/>
        <v>0</v>
      </c>
      <c r="E141" s="7">
        <f>SUM(C$5:C141)</f>
        <v>0</v>
      </c>
      <c r="F141" s="7">
        <f>SUM(D$5:D141)</f>
        <v>0</v>
      </c>
      <c r="G141" s="7">
        <f>$D$1-'Amort Schedule - Flip'!F141</f>
        <v>0</v>
      </c>
      <c r="H141" s="11" t="e">
        <f t="shared" si="24"/>
        <v>#DIV/0!</v>
      </c>
      <c r="J141" s="127">
        <f t="shared" si="27"/>
        <v>0</v>
      </c>
      <c r="K141" s="127">
        <f t="shared" si="28"/>
        <v>0</v>
      </c>
      <c r="L141" s="7">
        <f t="shared" si="29"/>
        <v>0</v>
      </c>
      <c r="M141" s="7">
        <f t="shared" si="30"/>
        <v>0</v>
      </c>
      <c r="N141" s="7">
        <f t="shared" si="31"/>
        <v>0</v>
      </c>
      <c r="O141" s="7">
        <f t="shared" si="32"/>
        <v>0</v>
      </c>
    </row>
    <row r="142" spans="1:15" x14ac:dyDescent="0.2">
      <c r="A142">
        <f t="shared" si="25"/>
        <v>138</v>
      </c>
      <c r="B142" s="7">
        <f t="shared" si="26"/>
        <v>0</v>
      </c>
      <c r="C142" s="7">
        <f t="shared" si="22"/>
        <v>0</v>
      </c>
      <c r="D142" s="7">
        <f t="shared" si="23"/>
        <v>0</v>
      </c>
      <c r="E142" s="7">
        <f>SUM(C$5:C142)</f>
        <v>0</v>
      </c>
      <c r="F142" s="7">
        <f>SUM(D$5:D142)</f>
        <v>0</v>
      </c>
      <c r="G142" s="7">
        <f>$D$1-'Amort Schedule - Flip'!F142</f>
        <v>0</v>
      </c>
      <c r="H142" s="11" t="e">
        <f t="shared" si="24"/>
        <v>#DIV/0!</v>
      </c>
      <c r="J142" s="127">
        <f t="shared" si="27"/>
        <v>0</v>
      </c>
      <c r="K142" s="127">
        <f t="shared" si="28"/>
        <v>0</v>
      </c>
      <c r="L142" s="7">
        <f t="shared" si="29"/>
        <v>0</v>
      </c>
      <c r="M142" s="7">
        <f t="shared" si="30"/>
        <v>0</v>
      </c>
      <c r="N142" s="7">
        <f t="shared" si="31"/>
        <v>0</v>
      </c>
      <c r="O142" s="7">
        <f t="shared" si="32"/>
        <v>0</v>
      </c>
    </row>
    <row r="143" spans="1:15" x14ac:dyDescent="0.2">
      <c r="A143">
        <f t="shared" si="25"/>
        <v>139</v>
      </c>
      <c r="B143" s="7">
        <f t="shared" si="26"/>
        <v>0</v>
      </c>
      <c r="C143" s="7">
        <f t="shared" si="22"/>
        <v>0</v>
      </c>
      <c r="D143" s="7">
        <f t="shared" si="23"/>
        <v>0</v>
      </c>
      <c r="E143" s="7">
        <f>SUM(C$5:C143)</f>
        <v>0</v>
      </c>
      <c r="F143" s="7">
        <f>SUM(D$5:D143)</f>
        <v>0</v>
      </c>
      <c r="G143" s="7">
        <f>$D$1-'Amort Schedule - Flip'!F143</f>
        <v>0</v>
      </c>
      <c r="H143" s="11" t="e">
        <f t="shared" si="24"/>
        <v>#DIV/0!</v>
      </c>
      <c r="J143" s="127">
        <f t="shared" si="27"/>
        <v>0</v>
      </c>
      <c r="K143" s="127">
        <f t="shared" si="28"/>
        <v>0</v>
      </c>
      <c r="L143" s="7">
        <f t="shared" si="29"/>
        <v>0</v>
      </c>
      <c r="M143" s="7">
        <f t="shared" si="30"/>
        <v>0</v>
      </c>
      <c r="N143" s="7">
        <f t="shared" si="31"/>
        <v>0</v>
      </c>
      <c r="O143" s="7">
        <f t="shared" si="32"/>
        <v>0</v>
      </c>
    </row>
    <row r="144" spans="1:15" x14ac:dyDescent="0.2">
      <c r="A144">
        <f t="shared" si="25"/>
        <v>140</v>
      </c>
      <c r="B144" s="7">
        <f t="shared" si="26"/>
        <v>0</v>
      </c>
      <c r="C144" s="7">
        <f t="shared" si="22"/>
        <v>0</v>
      </c>
      <c r="D144" s="7">
        <f t="shared" si="23"/>
        <v>0</v>
      </c>
      <c r="E144" s="7">
        <f>SUM(C$5:C144)</f>
        <v>0</v>
      </c>
      <c r="F144" s="7">
        <f>SUM(D$5:D144)</f>
        <v>0</v>
      </c>
      <c r="G144" s="7">
        <f>$D$1-'Amort Schedule - Flip'!F144</f>
        <v>0</v>
      </c>
      <c r="H144" s="11" t="e">
        <f t="shared" si="24"/>
        <v>#DIV/0!</v>
      </c>
      <c r="J144" s="127">
        <f t="shared" si="27"/>
        <v>0</v>
      </c>
      <c r="K144" s="127">
        <f t="shared" si="28"/>
        <v>0</v>
      </c>
      <c r="L144" s="7">
        <f t="shared" si="29"/>
        <v>0</v>
      </c>
      <c r="M144" s="7">
        <f t="shared" si="30"/>
        <v>0</v>
      </c>
      <c r="N144" s="7">
        <f t="shared" si="31"/>
        <v>0</v>
      </c>
      <c r="O144" s="7">
        <f t="shared" si="32"/>
        <v>0</v>
      </c>
    </row>
    <row r="145" spans="1:15" x14ac:dyDescent="0.2">
      <c r="A145">
        <f t="shared" si="25"/>
        <v>141</v>
      </c>
      <c r="B145" s="7">
        <f t="shared" si="26"/>
        <v>0</v>
      </c>
      <c r="C145" s="7">
        <f t="shared" si="22"/>
        <v>0</v>
      </c>
      <c r="D145" s="7">
        <f t="shared" si="23"/>
        <v>0</v>
      </c>
      <c r="E145" s="7">
        <f>SUM(C$5:C145)</f>
        <v>0</v>
      </c>
      <c r="F145" s="7">
        <f>SUM(D$5:D145)</f>
        <v>0</v>
      </c>
      <c r="G145" s="7">
        <f>$D$1-'Amort Schedule - Flip'!F145</f>
        <v>0</v>
      </c>
      <c r="H145" s="11" t="e">
        <f t="shared" si="24"/>
        <v>#DIV/0!</v>
      </c>
      <c r="J145" s="127">
        <f t="shared" si="27"/>
        <v>0</v>
      </c>
      <c r="K145" s="127">
        <f t="shared" si="28"/>
        <v>0</v>
      </c>
      <c r="L145" s="7">
        <f t="shared" si="29"/>
        <v>0</v>
      </c>
      <c r="M145" s="7">
        <f t="shared" si="30"/>
        <v>0</v>
      </c>
      <c r="N145" s="7">
        <f t="shared" si="31"/>
        <v>0</v>
      </c>
      <c r="O145" s="7">
        <f t="shared" si="32"/>
        <v>0</v>
      </c>
    </row>
    <row r="146" spans="1:15" x14ac:dyDescent="0.2">
      <c r="A146">
        <f t="shared" si="25"/>
        <v>142</v>
      </c>
      <c r="B146" s="7">
        <f t="shared" si="26"/>
        <v>0</v>
      </c>
      <c r="C146" s="7">
        <f t="shared" si="22"/>
        <v>0</v>
      </c>
      <c r="D146" s="7">
        <f t="shared" si="23"/>
        <v>0</v>
      </c>
      <c r="E146" s="7">
        <f>SUM(C$5:C146)</f>
        <v>0</v>
      </c>
      <c r="F146" s="7">
        <f>SUM(D$5:D146)</f>
        <v>0</v>
      </c>
      <c r="G146" s="7">
        <f>$D$1-'Amort Schedule - Flip'!F146</f>
        <v>0</v>
      </c>
      <c r="H146" s="11" t="e">
        <f t="shared" si="24"/>
        <v>#DIV/0!</v>
      </c>
      <c r="J146" s="127">
        <f t="shared" si="27"/>
        <v>0</v>
      </c>
      <c r="K146" s="127">
        <f t="shared" si="28"/>
        <v>0</v>
      </c>
      <c r="L146" s="7">
        <f t="shared" si="29"/>
        <v>0</v>
      </c>
      <c r="M146" s="7">
        <f t="shared" si="30"/>
        <v>0</v>
      </c>
      <c r="N146" s="7">
        <f t="shared" si="31"/>
        <v>0</v>
      </c>
      <c r="O146" s="7">
        <f t="shared" si="32"/>
        <v>0</v>
      </c>
    </row>
    <row r="147" spans="1:15" x14ac:dyDescent="0.2">
      <c r="A147">
        <f t="shared" si="25"/>
        <v>143</v>
      </c>
      <c r="B147" s="7">
        <f t="shared" si="26"/>
        <v>0</v>
      </c>
      <c r="C147" s="7">
        <f t="shared" si="22"/>
        <v>0</v>
      </c>
      <c r="D147" s="7">
        <f t="shared" si="23"/>
        <v>0</v>
      </c>
      <c r="E147" s="7">
        <f>SUM(C$5:C147)</f>
        <v>0</v>
      </c>
      <c r="F147" s="7">
        <f>SUM(D$5:D147)</f>
        <v>0</v>
      </c>
      <c r="G147" s="7">
        <f>$D$1-'Amort Schedule - Flip'!F147</f>
        <v>0</v>
      </c>
      <c r="H147" s="11" t="e">
        <f t="shared" si="24"/>
        <v>#DIV/0!</v>
      </c>
      <c r="J147" s="127">
        <f t="shared" si="27"/>
        <v>0</v>
      </c>
      <c r="K147" s="127">
        <f t="shared" si="28"/>
        <v>0</v>
      </c>
      <c r="L147" s="7">
        <f t="shared" si="29"/>
        <v>0</v>
      </c>
      <c r="M147" s="7">
        <f t="shared" si="30"/>
        <v>0</v>
      </c>
      <c r="N147" s="7">
        <f t="shared" si="31"/>
        <v>0</v>
      </c>
      <c r="O147" s="7">
        <f t="shared" si="32"/>
        <v>0</v>
      </c>
    </row>
    <row r="148" spans="1:15" s="6" customFormat="1" x14ac:dyDescent="0.2">
      <c r="A148" s="6">
        <f t="shared" si="25"/>
        <v>144</v>
      </c>
      <c r="B148" s="128">
        <f t="shared" si="26"/>
        <v>0</v>
      </c>
      <c r="C148" s="128">
        <f t="shared" si="22"/>
        <v>0</v>
      </c>
      <c r="D148" s="128">
        <f t="shared" si="23"/>
        <v>0</v>
      </c>
      <c r="E148" s="128">
        <f>SUM(C$5:C148)</f>
        <v>0</v>
      </c>
      <c r="F148" s="128">
        <f>SUM(D$5:D148)</f>
        <v>0</v>
      </c>
      <c r="G148" s="128">
        <f>$D$1-'Amort Schedule - Flip'!F148</f>
        <v>0</v>
      </c>
      <c r="H148" s="124" t="e">
        <f t="shared" si="24"/>
        <v>#DIV/0!</v>
      </c>
      <c r="J148" s="127">
        <f t="shared" si="27"/>
        <v>0</v>
      </c>
      <c r="K148" s="127">
        <f t="shared" si="28"/>
        <v>0</v>
      </c>
      <c r="L148" s="7">
        <f t="shared" si="29"/>
        <v>0</v>
      </c>
      <c r="M148" s="7">
        <f t="shared" si="30"/>
        <v>0</v>
      </c>
      <c r="N148" s="7">
        <f t="shared" si="31"/>
        <v>0</v>
      </c>
      <c r="O148" s="7">
        <f t="shared" si="32"/>
        <v>0</v>
      </c>
    </row>
    <row r="149" spans="1:15" x14ac:dyDescent="0.2">
      <c r="A149">
        <f t="shared" si="25"/>
        <v>145</v>
      </c>
      <c r="B149" s="7">
        <f t="shared" si="26"/>
        <v>0</v>
      </c>
      <c r="C149" s="7">
        <f t="shared" si="22"/>
        <v>0</v>
      </c>
      <c r="D149" s="7">
        <f t="shared" si="23"/>
        <v>0</v>
      </c>
      <c r="E149" s="7">
        <f>SUM(C$5:C149)</f>
        <v>0</v>
      </c>
      <c r="F149" s="7">
        <f>SUM(D$5:D149)</f>
        <v>0</v>
      </c>
      <c r="G149" s="7">
        <f>$D$1-'Amort Schedule - Flip'!F149</f>
        <v>0</v>
      </c>
      <c r="H149" s="11" t="e">
        <f t="shared" si="24"/>
        <v>#DIV/0!</v>
      </c>
      <c r="J149" s="127">
        <f t="shared" si="27"/>
        <v>0</v>
      </c>
      <c r="K149" s="127">
        <f t="shared" si="28"/>
        <v>0</v>
      </c>
      <c r="L149" s="7">
        <f t="shared" si="29"/>
        <v>0</v>
      </c>
      <c r="M149" s="7">
        <f t="shared" si="30"/>
        <v>0</v>
      </c>
      <c r="N149" s="7">
        <f t="shared" si="31"/>
        <v>0</v>
      </c>
      <c r="O149" s="7">
        <f t="shared" si="32"/>
        <v>0</v>
      </c>
    </row>
    <row r="150" spans="1:15" x14ac:dyDescent="0.2">
      <c r="A150">
        <f t="shared" si="25"/>
        <v>146</v>
      </c>
      <c r="B150" s="7">
        <f t="shared" si="26"/>
        <v>0</v>
      </c>
      <c r="C150" s="7">
        <f t="shared" si="22"/>
        <v>0</v>
      </c>
      <c r="D150" s="7">
        <f t="shared" si="23"/>
        <v>0</v>
      </c>
      <c r="E150" s="7">
        <f>SUM(C$5:C150)</f>
        <v>0</v>
      </c>
      <c r="F150" s="7">
        <f>SUM(D$5:D150)</f>
        <v>0</v>
      </c>
      <c r="G150" s="7">
        <f>$D$1-'Amort Schedule - Flip'!F150</f>
        <v>0</v>
      </c>
      <c r="H150" s="11" t="e">
        <f t="shared" si="24"/>
        <v>#DIV/0!</v>
      </c>
      <c r="J150" s="127">
        <f t="shared" si="27"/>
        <v>0</v>
      </c>
      <c r="K150" s="127">
        <f t="shared" si="28"/>
        <v>0</v>
      </c>
      <c r="L150" s="7">
        <f t="shared" si="29"/>
        <v>0</v>
      </c>
      <c r="M150" s="7">
        <f t="shared" si="30"/>
        <v>0</v>
      </c>
      <c r="N150" s="7">
        <f t="shared" si="31"/>
        <v>0</v>
      </c>
      <c r="O150" s="7">
        <f t="shared" si="32"/>
        <v>0</v>
      </c>
    </row>
    <row r="151" spans="1:15" x14ac:dyDescent="0.2">
      <c r="A151">
        <f t="shared" si="25"/>
        <v>147</v>
      </c>
      <c r="B151" s="7">
        <f t="shared" si="26"/>
        <v>0</v>
      </c>
      <c r="C151" s="7">
        <f t="shared" si="22"/>
        <v>0</v>
      </c>
      <c r="D151" s="7">
        <f t="shared" si="23"/>
        <v>0</v>
      </c>
      <c r="E151" s="7">
        <f>SUM(C$5:C151)</f>
        <v>0</v>
      </c>
      <c r="F151" s="7">
        <f>SUM(D$5:D151)</f>
        <v>0</v>
      </c>
      <c r="G151" s="7">
        <f>$D$1-'Amort Schedule - Flip'!F151</f>
        <v>0</v>
      </c>
      <c r="H151" s="11" t="e">
        <f t="shared" si="24"/>
        <v>#DIV/0!</v>
      </c>
      <c r="J151" s="127">
        <f t="shared" si="27"/>
        <v>0</v>
      </c>
      <c r="K151" s="127">
        <f t="shared" si="28"/>
        <v>0</v>
      </c>
      <c r="L151" s="7">
        <f t="shared" si="29"/>
        <v>0</v>
      </c>
      <c r="M151" s="7">
        <f t="shared" si="30"/>
        <v>0</v>
      </c>
      <c r="N151" s="7">
        <f t="shared" si="31"/>
        <v>0</v>
      </c>
      <c r="O151" s="7">
        <f t="shared" si="32"/>
        <v>0</v>
      </c>
    </row>
    <row r="152" spans="1:15" x14ac:dyDescent="0.2">
      <c r="A152">
        <f t="shared" si="25"/>
        <v>148</v>
      </c>
      <c r="B152" s="7">
        <f t="shared" si="26"/>
        <v>0</v>
      </c>
      <c r="C152" s="7">
        <f t="shared" si="22"/>
        <v>0</v>
      </c>
      <c r="D152" s="7">
        <f t="shared" si="23"/>
        <v>0</v>
      </c>
      <c r="E152" s="7">
        <f>SUM(C$5:C152)</f>
        <v>0</v>
      </c>
      <c r="F152" s="7">
        <f>SUM(D$5:D152)</f>
        <v>0</v>
      </c>
      <c r="G152" s="7">
        <f>$D$1-'Amort Schedule - Flip'!F152</f>
        <v>0</v>
      </c>
      <c r="H152" s="11" t="e">
        <f t="shared" si="24"/>
        <v>#DIV/0!</v>
      </c>
      <c r="J152" s="127">
        <f t="shared" si="27"/>
        <v>0</v>
      </c>
      <c r="K152" s="127">
        <f t="shared" si="28"/>
        <v>0</v>
      </c>
      <c r="L152" s="7">
        <f t="shared" si="29"/>
        <v>0</v>
      </c>
      <c r="M152" s="7">
        <f t="shared" si="30"/>
        <v>0</v>
      </c>
      <c r="N152" s="7">
        <f t="shared" si="31"/>
        <v>0</v>
      </c>
      <c r="O152" s="7">
        <f t="shared" si="32"/>
        <v>0</v>
      </c>
    </row>
    <row r="153" spans="1:15" x14ac:dyDescent="0.2">
      <c r="A153">
        <f t="shared" si="25"/>
        <v>149</v>
      </c>
      <c r="B153" s="7">
        <f t="shared" si="26"/>
        <v>0</v>
      </c>
      <c r="C153" s="7">
        <f t="shared" si="22"/>
        <v>0</v>
      </c>
      <c r="D153" s="7">
        <f t="shared" si="23"/>
        <v>0</v>
      </c>
      <c r="E153" s="7">
        <f>SUM(C$5:C153)</f>
        <v>0</v>
      </c>
      <c r="F153" s="7">
        <f>SUM(D$5:D153)</f>
        <v>0</v>
      </c>
      <c r="G153" s="7">
        <f>$D$1-'Amort Schedule - Flip'!F153</f>
        <v>0</v>
      </c>
      <c r="H153" s="11" t="e">
        <f t="shared" si="24"/>
        <v>#DIV/0!</v>
      </c>
      <c r="J153" s="127">
        <f t="shared" si="27"/>
        <v>0</v>
      </c>
      <c r="K153" s="127">
        <f t="shared" si="28"/>
        <v>0</v>
      </c>
      <c r="L153" s="7">
        <f t="shared" si="29"/>
        <v>0</v>
      </c>
      <c r="M153" s="7">
        <f t="shared" si="30"/>
        <v>0</v>
      </c>
      <c r="N153" s="7">
        <f t="shared" si="31"/>
        <v>0</v>
      </c>
      <c r="O153" s="7">
        <f t="shared" si="32"/>
        <v>0</v>
      </c>
    </row>
    <row r="154" spans="1:15" x14ac:dyDescent="0.2">
      <c r="A154">
        <f t="shared" si="25"/>
        <v>150</v>
      </c>
      <c r="B154" s="7">
        <f t="shared" si="26"/>
        <v>0</v>
      </c>
      <c r="C154" s="7">
        <f t="shared" si="22"/>
        <v>0</v>
      </c>
      <c r="D154" s="7">
        <f t="shared" si="23"/>
        <v>0</v>
      </c>
      <c r="E154" s="7">
        <f>SUM(C$5:C154)</f>
        <v>0</v>
      </c>
      <c r="F154" s="7">
        <f>SUM(D$5:D154)</f>
        <v>0</v>
      </c>
      <c r="G154" s="7">
        <f>$D$1-'Amort Schedule - Flip'!F154</f>
        <v>0</v>
      </c>
      <c r="H154" s="11" t="e">
        <f t="shared" si="24"/>
        <v>#DIV/0!</v>
      </c>
      <c r="J154" s="127">
        <f t="shared" si="27"/>
        <v>0</v>
      </c>
      <c r="K154" s="127">
        <f t="shared" si="28"/>
        <v>0</v>
      </c>
      <c r="L154" s="7">
        <f t="shared" si="29"/>
        <v>0</v>
      </c>
      <c r="M154" s="7">
        <f t="shared" si="30"/>
        <v>0</v>
      </c>
      <c r="N154" s="7">
        <f t="shared" si="31"/>
        <v>0</v>
      </c>
      <c r="O154" s="7">
        <f t="shared" si="32"/>
        <v>0</v>
      </c>
    </row>
    <row r="155" spans="1:15" x14ac:dyDescent="0.2">
      <c r="A155">
        <f t="shared" si="25"/>
        <v>151</v>
      </c>
      <c r="B155" s="7">
        <f t="shared" si="26"/>
        <v>0</v>
      </c>
      <c r="C155" s="7">
        <f t="shared" si="22"/>
        <v>0</v>
      </c>
      <c r="D155" s="7">
        <f t="shared" si="23"/>
        <v>0</v>
      </c>
      <c r="E155" s="7">
        <f>SUM(C$5:C155)</f>
        <v>0</v>
      </c>
      <c r="F155" s="7">
        <f>SUM(D$5:D155)</f>
        <v>0</v>
      </c>
      <c r="G155" s="7">
        <f>$D$1-'Amort Schedule - Flip'!F155</f>
        <v>0</v>
      </c>
      <c r="H155" s="11" t="e">
        <f t="shared" si="24"/>
        <v>#DIV/0!</v>
      </c>
      <c r="J155" s="127">
        <f t="shared" si="27"/>
        <v>0</v>
      </c>
      <c r="K155" s="127">
        <f t="shared" si="28"/>
        <v>0</v>
      </c>
      <c r="L155" s="7">
        <f t="shared" si="29"/>
        <v>0</v>
      </c>
      <c r="M155" s="7">
        <f t="shared" si="30"/>
        <v>0</v>
      </c>
      <c r="N155" s="7">
        <f t="shared" si="31"/>
        <v>0</v>
      </c>
      <c r="O155" s="7">
        <f t="shared" si="32"/>
        <v>0</v>
      </c>
    </row>
    <row r="156" spans="1:15" x14ac:dyDescent="0.2">
      <c r="A156">
        <f t="shared" si="25"/>
        <v>152</v>
      </c>
      <c r="B156" s="7">
        <f t="shared" si="26"/>
        <v>0</v>
      </c>
      <c r="C156" s="7">
        <f t="shared" si="22"/>
        <v>0</v>
      </c>
      <c r="D156" s="7">
        <f t="shared" si="23"/>
        <v>0</v>
      </c>
      <c r="E156" s="7">
        <f>SUM(C$5:C156)</f>
        <v>0</v>
      </c>
      <c r="F156" s="7">
        <f>SUM(D$5:D156)</f>
        <v>0</v>
      </c>
      <c r="G156" s="7">
        <f>$D$1-'Amort Schedule - Flip'!F156</f>
        <v>0</v>
      </c>
      <c r="H156" s="11" t="e">
        <f t="shared" si="24"/>
        <v>#DIV/0!</v>
      </c>
      <c r="J156" s="127">
        <f t="shared" si="27"/>
        <v>0</v>
      </c>
      <c r="K156" s="127">
        <f t="shared" si="28"/>
        <v>0</v>
      </c>
      <c r="L156" s="7">
        <f t="shared" si="29"/>
        <v>0</v>
      </c>
      <c r="M156" s="7">
        <f t="shared" si="30"/>
        <v>0</v>
      </c>
      <c r="N156" s="7">
        <f t="shared" si="31"/>
        <v>0</v>
      </c>
      <c r="O156" s="7">
        <f t="shared" si="32"/>
        <v>0</v>
      </c>
    </row>
    <row r="157" spans="1:15" x14ac:dyDescent="0.2">
      <c r="A157">
        <f t="shared" si="25"/>
        <v>153</v>
      </c>
      <c r="B157" s="7">
        <f t="shared" si="26"/>
        <v>0</v>
      </c>
      <c r="C157" s="7">
        <f t="shared" si="22"/>
        <v>0</v>
      </c>
      <c r="D157" s="7">
        <f t="shared" si="23"/>
        <v>0</v>
      </c>
      <c r="E157" s="7">
        <f>SUM(C$5:C157)</f>
        <v>0</v>
      </c>
      <c r="F157" s="7">
        <f>SUM(D$5:D157)</f>
        <v>0</v>
      </c>
      <c r="G157" s="7">
        <f>$D$1-'Amort Schedule - Flip'!F157</f>
        <v>0</v>
      </c>
      <c r="H157" s="11" t="e">
        <f t="shared" si="24"/>
        <v>#DIV/0!</v>
      </c>
      <c r="J157" s="127">
        <f t="shared" si="27"/>
        <v>0</v>
      </c>
      <c r="K157" s="127">
        <f t="shared" si="28"/>
        <v>0</v>
      </c>
      <c r="L157" s="7">
        <f t="shared" si="29"/>
        <v>0</v>
      </c>
      <c r="M157" s="7">
        <f t="shared" si="30"/>
        <v>0</v>
      </c>
      <c r="N157" s="7">
        <f t="shared" si="31"/>
        <v>0</v>
      </c>
      <c r="O157" s="7">
        <f t="shared" si="32"/>
        <v>0</v>
      </c>
    </row>
    <row r="158" spans="1:15" x14ac:dyDescent="0.2">
      <c r="A158">
        <f t="shared" si="25"/>
        <v>154</v>
      </c>
      <c r="B158" s="7">
        <f t="shared" si="26"/>
        <v>0</v>
      </c>
      <c r="C158" s="7">
        <f t="shared" si="22"/>
        <v>0</v>
      </c>
      <c r="D158" s="7">
        <f t="shared" si="23"/>
        <v>0</v>
      </c>
      <c r="E158" s="7">
        <f>SUM(C$5:C158)</f>
        <v>0</v>
      </c>
      <c r="F158" s="7">
        <f>SUM(D$5:D158)</f>
        <v>0</v>
      </c>
      <c r="G158" s="7">
        <f>$D$1-'Amort Schedule - Flip'!F158</f>
        <v>0</v>
      </c>
      <c r="H158" s="11" t="e">
        <f t="shared" si="24"/>
        <v>#DIV/0!</v>
      </c>
      <c r="J158" s="127">
        <f t="shared" si="27"/>
        <v>0</v>
      </c>
      <c r="K158" s="127">
        <f t="shared" si="28"/>
        <v>0</v>
      </c>
      <c r="L158" s="7">
        <f t="shared" si="29"/>
        <v>0</v>
      </c>
      <c r="M158" s="7">
        <f t="shared" si="30"/>
        <v>0</v>
      </c>
      <c r="N158" s="7">
        <f t="shared" si="31"/>
        <v>0</v>
      </c>
      <c r="O158" s="7">
        <f t="shared" si="32"/>
        <v>0</v>
      </c>
    </row>
    <row r="159" spans="1:15" x14ac:dyDescent="0.2">
      <c r="A159">
        <f t="shared" si="25"/>
        <v>155</v>
      </c>
      <c r="B159" s="7">
        <f t="shared" si="26"/>
        <v>0</v>
      </c>
      <c r="C159" s="7">
        <f t="shared" si="22"/>
        <v>0</v>
      </c>
      <c r="D159" s="7">
        <f t="shared" si="23"/>
        <v>0</v>
      </c>
      <c r="E159" s="7">
        <f>SUM(C$5:C159)</f>
        <v>0</v>
      </c>
      <c r="F159" s="7">
        <f>SUM(D$5:D159)</f>
        <v>0</v>
      </c>
      <c r="G159" s="7">
        <f>$D$1-'Amort Schedule - Flip'!F159</f>
        <v>0</v>
      </c>
      <c r="H159" s="11" t="e">
        <f t="shared" si="24"/>
        <v>#DIV/0!</v>
      </c>
      <c r="J159" s="127">
        <f t="shared" si="27"/>
        <v>0</v>
      </c>
      <c r="K159" s="127">
        <f t="shared" si="28"/>
        <v>0</v>
      </c>
      <c r="L159" s="7">
        <f t="shared" si="29"/>
        <v>0</v>
      </c>
      <c r="M159" s="7">
        <f t="shared" si="30"/>
        <v>0</v>
      </c>
      <c r="N159" s="7">
        <f t="shared" si="31"/>
        <v>0</v>
      </c>
      <c r="O159" s="7">
        <f t="shared" si="32"/>
        <v>0</v>
      </c>
    </row>
    <row r="160" spans="1:15" s="6" customFormat="1" x14ac:dyDescent="0.2">
      <c r="A160" s="6">
        <f t="shared" si="25"/>
        <v>156</v>
      </c>
      <c r="B160" s="128">
        <f t="shared" si="26"/>
        <v>0</v>
      </c>
      <c r="C160" s="128">
        <f t="shared" si="22"/>
        <v>0</v>
      </c>
      <c r="D160" s="128">
        <f t="shared" si="23"/>
        <v>0</v>
      </c>
      <c r="E160" s="128">
        <f>SUM(C$5:C160)</f>
        <v>0</v>
      </c>
      <c r="F160" s="128">
        <f>SUM(D$5:D160)</f>
        <v>0</v>
      </c>
      <c r="G160" s="128">
        <f>$D$1-'Amort Schedule - Flip'!F160</f>
        <v>0</v>
      </c>
      <c r="H160" s="124" t="e">
        <f t="shared" si="24"/>
        <v>#DIV/0!</v>
      </c>
      <c r="J160" s="127">
        <f t="shared" si="27"/>
        <v>0</v>
      </c>
      <c r="K160" s="127">
        <f t="shared" si="28"/>
        <v>0</v>
      </c>
      <c r="L160" s="7">
        <f t="shared" si="29"/>
        <v>0</v>
      </c>
      <c r="M160" s="7">
        <f t="shared" si="30"/>
        <v>0</v>
      </c>
      <c r="N160" s="7">
        <f t="shared" si="31"/>
        <v>0</v>
      </c>
      <c r="O160" s="7">
        <f t="shared" si="32"/>
        <v>0</v>
      </c>
    </row>
    <row r="161" spans="1:15" x14ac:dyDescent="0.2">
      <c r="A161">
        <f t="shared" si="25"/>
        <v>157</v>
      </c>
      <c r="B161" s="7">
        <f t="shared" si="26"/>
        <v>0</v>
      </c>
      <c r="C161" s="7">
        <f t="shared" si="22"/>
        <v>0</v>
      </c>
      <c r="D161" s="7">
        <f t="shared" si="23"/>
        <v>0</v>
      </c>
      <c r="E161" s="7">
        <f>SUM(C$5:C161)</f>
        <v>0</v>
      </c>
      <c r="F161" s="7">
        <f>SUM(D$5:D161)</f>
        <v>0</v>
      </c>
      <c r="G161" s="7">
        <f>$D$1-'Amort Schedule - Flip'!F161</f>
        <v>0</v>
      </c>
      <c r="H161" s="11" t="e">
        <f t="shared" si="24"/>
        <v>#DIV/0!</v>
      </c>
      <c r="J161" s="127">
        <f t="shared" si="27"/>
        <v>0</v>
      </c>
      <c r="K161" s="127">
        <f t="shared" si="28"/>
        <v>0</v>
      </c>
      <c r="L161" s="7">
        <f t="shared" si="29"/>
        <v>0</v>
      </c>
      <c r="M161" s="7">
        <f t="shared" si="30"/>
        <v>0</v>
      </c>
      <c r="N161" s="7">
        <f t="shared" si="31"/>
        <v>0</v>
      </c>
      <c r="O161" s="7">
        <f t="shared" si="32"/>
        <v>0</v>
      </c>
    </row>
    <row r="162" spans="1:15" x14ac:dyDescent="0.2">
      <c r="A162">
        <f t="shared" si="25"/>
        <v>158</v>
      </c>
      <c r="B162" s="7">
        <f t="shared" si="26"/>
        <v>0</v>
      </c>
      <c r="C162" s="7">
        <f t="shared" si="22"/>
        <v>0</v>
      </c>
      <c r="D162" s="7">
        <f t="shared" si="23"/>
        <v>0</v>
      </c>
      <c r="E162" s="7">
        <f>SUM(C$5:C162)</f>
        <v>0</v>
      </c>
      <c r="F162" s="7">
        <f>SUM(D$5:D162)</f>
        <v>0</v>
      </c>
      <c r="G162" s="7">
        <f>$D$1-'Amort Schedule - Flip'!F162</f>
        <v>0</v>
      </c>
      <c r="H162" s="11" t="e">
        <f t="shared" si="24"/>
        <v>#DIV/0!</v>
      </c>
      <c r="J162" s="127">
        <f t="shared" si="27"/>
        <v>0</v>
      </c>
      <c r="K162" s="127">
        <f t="shared" si="28"/>
        <v>0</v>
      </c>
      <c r="L162" s="7">
        <f t="shared" si="29"/>
        <v>0</v>
      </c>
      <c r="M162" s="7">
        <f t="shared" si="30"/>
        <v>0</v>
      </c>
      <c r="N162" s="7">
        <f t="shared" si="31"/>
        <v>0</v>
      </c>
      <c r="O162" s="7">
        <f t="shared" si="32"/>
        <v>0</v>
      </c>
    </row>
    <row r="163" spans="1:15" x14ac:dyDescent="0.2">
      <c r="A163">
        <f t="shared" si="25"/>
        <v>159</v>
      </c>
      <c r="B163" s="7">
        <f t="shared" si="26"/>
        <v>0</v>
      </c>
      <c r="C163" s="7">
        <f t="shared" si="22"/>
        <v>0</v>
      </c>
      <c r="D163" s="7">
        <f t="shared" si="23"/>
        <v>0</v>
      </c>
      <c r="E163" s="7">
        <f>SUM(C$5:C163)</f>
        <v>0</v>
      </c>
      <c r="F163" s="7">
        <f>SUM(D$5:D163)</f>
        <v>0</v>
      </c>
      <c r="G163" s="7">
        <f>$D$1-'Amort Schedule - Flip'!F163</f>
        <v>0</v>
      </c>
      <c r="H163" s="11" t="e">
        <f t="shared" si="24"/>
        <v>#DIV/0!</v>
      </c>
      <c r="J163" s="127">
        <f t="shared" si="27"/>
        <v>0</v>
      </c>
      <c r="K163" s="127">
        <f t="shared" si="28"/>
        <v>0</v>
      </c>
      <c r="L163" s="7">
        <f t="shared" si="29"/>
        <v>0</v>
      </c>
      <c r="M163" s="7">
        <f t="shared" si="30"/>
        <v>0</v>
      </c>
      <c r="N163" s="7">
        <f t="shared" si="31"/>
        <v>0</v>
      </c>
      <c r="O163" s="7">
        <f t="shared" si="32"/>
        <v>0</v>
      </c>
    </row>
    <row r="164" spans="1:15" x14ac:dyDescent="0.2">
      <c r="A164">
        <f t="shared" si="25"/>
        <v>160</v>
      </c>
      <c r="B164" s="7">
        <f t="shared" si="26"/>
        <v>0</v>
      </c>
      <c r="C164" s="7">
        <f t="shared" si="22"/>
        <v>0</v>
      </c>
      <c r="D164" s="7">
        <f t="shared" si="23"/>
        <v>0</v>
      </c>
      <c r="E164" s="7">
        <f>SUM(C$5:C164)</f>
        <v>0</v>
      </c>
      <c r="F164" s="7">
        <f>SUM(D$5:D164)</f>
        <v>0</v>
      </c>
      <c r="G164" s="7">
        <f>$D$1-'Amort Schedule - Flip'!F164</f>
        <v>0</v>
      </c>
      <c r="H164" s="11" t="e">
        <f t="shared" si="24"/>
        <v>#DIV/0!</v>
      </c>
      <c r="J164" s="127">
        <f t="shared" si="27"/>
        <v>0</v>
      </c>
      <c r="K164" s="127">
        <f t="shared" si="28"/>
        <v>0</v>
      </c>
      <c r="L164" s="7">
        <f t="shared" si="29"/>
        <v>0</v>
      </c>
      <c r="M164" s="7">
        <f t="shared" si="30"/>
        <v>0</v>
      </c>
      <c r="N164" s="7">
        <f t="shared" si="31"/>
        <v>0</v>
      </c>
      <c r="O164" s="7">
        <f t="shared" si="32"/>
        <v>0</v>
      </c>
    </row>
    <row r="165" spans="1:15" x14ac:dyDescent="0.2">
      <c r="A165">
        <f t="shared" si="25"/>
        <v>161</v>
      </c>
      <c r="B165" s="7">
        <f t="shared" si="26"/>
        <v>0</v>
      </c>
      <c r="C165" s="7">
        <f t="shared" si="22"/>
        <v>0</v>
      </c>
      <c r="D165" s="7">
        <f t="shared" si="23"/>
        <v>0</v>
      </c>
      <c r="E165" s="7">
        <f>SUM(C$5:C165)</f>
        <v>0</v>
      </c>
      <c r="F165" s="7">
        <f>SUM(D$5:D165)</f>
        <v>0</v>
      </c>
      <c r="G165" s="7">
        <f>$D$1-'Amort Schedule - Flip'!F165</f>
        <v>0</v>
      </c>
      <c r="H165" s="11" t="e">
        <f t="shared" si="24"/>
        <v>#DIV/0!</v>
      </c>
      <c r="J165" s="127">
        <f t="shared" si="27"/>
        <v>0</v>
      </c>
      <c r="K165" s="127">
        <f t="shared" si="28"/>
        <v>0</v>
      </c>
      <c r="L165" s="7">
        <f t="shared" si="29"/>
        <v>0</v>
      </c>
      <c r="M165" s="7">
        <f t="shared" si="30"/>
        <v>0</v>
      </c>
      <c r="N165" s="7">
        <f t="shared" si="31"/>
        <v>0</v>
      </c>
      <c r="O165" s="7">
        <f t="shared" si="32"/>
        <v>0</v>
      </c>
    </row>
    <row r="166" spans="1:15" x14ac:dyDescent="0.2">
      <c r="A166">
        <f t="shared" si="25"/>
        <v>162</v>
      </c>
      <c r="B166" s="7">
        <f t="shared" si="26"/>
        <v>0</v>
      </c>
      <c r="C166" s="7">
        <f t="shared" si="22"/>
        <v>0</v>
      </c>
      <c r="D166" s="7">
        <f t="shared" si="23"/>
        <v>0</v>
      </c>
      <c r="E166" s="7">
        <f>SUM(C$5:C166)</f>
        <v>0</v>
      </c>
      <c r="F166" s="7">
        <f>SUM(D$5:D166)</f>
        <v>0</v>
      </c>
      <c r="G166" s="7">
        <f>$D$1-'Amort Schedule - Flip'!F166</f>
        <v>0</v>
      </c>
      <c r="H166" s="11" t="e">
        <f t="shared" si="24"/>
        <v>#DIV/0!</v>
      </c>
      <c r="J166" s="127">
        <f t="shared" si="27"/>
        <v>0</v>
      </c>
      <c r="K166" s="127">
        <f t="shared" si="28"/>
        <v>0</v>
      </c>
      <c r="L166" s="7">
        <f t="shared" si="29"/>
        <v>0</v>
      </c>
      <c r="M166" s="7">
        <f t="shared" si="30"/>
        <v>0</v>
      </c>
      <c r="N166" s="7">
        <f t="shared" si="31"/>
        <v>0</v>
      </c>
      <c r="O166" s="7">
        <f t="shared" si="32"/>
        <v>0</v>
      </c>
    </row>
    <row r="167" spans="1:15" x14ac:dyDescent="0.2">
      <c r="A167">
        <f t="shared" si="25"/>
        <v>163</v>
      </c>
      <c r="B167" s="7">
        <f t="shared" si="26"/>
        <v>0</v>
      </c>
      <c r="C167" s="7">
        <f t="shared" si="22"/>
        <v>0</v>
      </c>
      <c r="D167" s="7">
        <f t="shared" si="23"/>
        <v>0</v>
      </c>
      <c r="E167" s="7">
        <f>SUM(C$5:C167)</f>
        <v>0</v>
      </c>
      <c r="F167" s="7">
        <f>SUM(D$5:D167)</f>
        <v>0</v>
      </c>
      <c r="G167" s="7">
        <f>$D$1-'Amort Schedule - Flip'!F167</f>
        <v>0</v>
      </c>
      <c r="H167" s="11" t="e">
        <f t="shared" si="24"/>
        <v>#DIV/0!</v>
      </c>
      <c r="J167" s="127">
        <f t="shared" si="27"/>
        <v>0</v>
      </c>
      <c r="K167" s="127">
        <f t="shared" si="28"/>
        <v>0</v>
      </c>
      <c r="L167" s="7">
        <f t="shared" si="29"/>
        <v>0</v>
      </c>
      <c r="M167" s="7">
        <f t="shared" si="30"/>
        <v>0</v>
      </c>
      <c r="N167" s="7">
        <f t="shared" si="31"/>
        <v>0</v>
      </c>
      <c r="O167" s="7">
        <f t="shared" si="32"/>
        <v>0</v>
      </c>
    </row>
    <row r="168" spans="1:15" x14ac:dyDescent="0.2">
      <c r="A168">
        <f t="shared" si="25"/>
        <v>164</v>
      </c>
      <c r="B168" s="7">
        <f t="shared" si="26"/>
        <v>0</v>
      </c>
      <c r="C168" s="7">
        <f t="shared" si="22"/>
        <v>0</v>
      </c>
      <c r="D168" s="7">
        <f t="shared" si="23"/>
        <v>0</v>
      </c>
      <c r="E168" s="7">
        <f>SUM(C$5:C168)</f>
        <v>0</v>
      </c>
      <c r="F168" s="7">
        <f>SUM(D$5:D168)</f>
        <v>0</v>
      </c>
      <c r="G168" s="7">
        <f>$D$1-'Amort Schedule - Flip'!F168</f>
        <v>0</v>
      </c>
      <c r="H168" s="11" t="e">
        <f t="shared" si="24"/>
        <v>#DIV/0!</v>
      </c>
      <c r="J168" s="127">
        <f t="shared" si="27"/>
        <v>0</v>
      </c>
      <c r="K168" s="127">
        <f t="shared" si="28"/>
        <v>0</v>
      </c>
      <c r="L168" s="7">
        <f t="shared" si="29"/>
        <v>0</v>
      </c>
      <c r="M168" s="7">
        <f t="shared" si="30"/>
        <v>0</v>
      </c>
      <c r="N168" s="7">
        <f t="shared" si="31"/>
        <v>0</v>
      </c>
      <c r="O168" s="7">
        <f t="shared" si="32"/>
        <v>0</v>
      </c>
    </row>
    <row r="169" spans="1:15" x14ac:dyDescent="0.2">
      <c r="A169">
        <f t="shared" si="25"/>
        <v>165</v>
      </c>
      <c r="B169" s="7">
        <f t="shared" si="26"/>
        <v>0</v>
      </c>
      <c r="C169" s="7">
        <f t="shared" si="22"/>
        <v>0</v>
      </c>
      <c r="D169" s="7">
        <f t="shared" si="23"/>
        <v>0</v>
      </c>
      <c r="E169" s="7">
        <f>SUM(C$5:C169)</f>
        <v>0</v>
      </c>
      <c r="F169" s="7">
        <f>SUM(D$5:D169)</f>
        <v>0</v>
      </c>
      <c r="G169" s="7">
        <f>$D$1-'Amort Schedule - Flip'!F169</f>
        <v>0</v>
      </c>
      <c r="H169" s="11" t="e">
        <f t="shared" si="24"/>
        <v>#DIV/0!</v>
      </c>
      <c r="J169" s="127">
        <f t="shared" si="27"/>
        <v>0</v>
      </c>
      <c r="K169" s="127">
        <f t="shared" si="28"/>
        <v>0</v>
      </c>
      <c r="L169" s="7">
        <f t="shared" si="29"/>
        <v>0</v>
      </c>
      <c r="M169" s="7">
        <f t="shared" si="30"/>
        <v>0</v>
      </c>
      <c r="N169" s="7">
        <f t="shared" si="31"/>
        <v>0</v>
      </c>
      <c r="O169" s="7">
        <f t="shared" si="32"/>
        <v>0</v>
      </c>
    </row>
    <row r="170" spans="1:15" x14ac:dyDescent="0.2">
      <c r="A170">
        <f t="shared" si="25"/>
        <v>166</v>
      </c>
      <c r="B170" s="7">
        <f t="shared" si="26"/>
        <v>0</v>
      </c>
      <c r="C170" s="7">
        <f t="shared" si="22"/>
        <v>0</v>
      </c>
      <c r="D170" s="7">
        <f t="shared" si="23"/>
        <v>0</v>
      </c>
      <c r="E170" s="7">
        <f>SUM(C$5:C170)</f>
        <v>0</v>
      </c>
      <c r="F170" s="7">
        <f>SUM(D$5:D170)</f>
        <v>0</v>
      </c>
      <c r="G170" s="7">
        <f>$D$1-'Amort Schedule - Flip'!F170</f>
        <v>0</v>
      </c>
      <c r="H170" s="11" t="e">
        <f t="shared" si="24"/>
        <v>#DIV/0!</v>
      </c>
      <c r="J170" s="127">
        <f t="shared" si="27"/>
        <v>0</v>
      </c>
      <c r="K170" s="127">
        <f t="shared" si="28"/>
        <v>0</v>
      </c>
      <c r="L170" s="7">
        <f t="shared" si="29"/>
        <v>0</v>
      </c>
      <c r="M170" s="7">
        <f t="shared" si="30"/>
        <v>0</v>
      </c>
      <c r="N170" s="7">
        <f t="shared" si="31"/>
        <v>0</v>
      </c>
      <c r="O170" s="7">
        <f t="shared" si="32"/>
        <v>0</v>
      </c>
    </row>
    <row r="171" spans="1:15" x14ac:dyDescent="0.2">
      <c r="A171">
        <f t="shared" si="25"/>
        <v>167</v>
      </c>
      <c r="B171" s="7">
        <f t="shared" si="26"/>
        <v>0</v>
      </c>
      <c r="C171" s="7">
        <f t="shared" si="22"/>
        <v>0</v>
      </c>
      <c r="D171" s="7">
        <f t="shared" si="23"/>
        <v>0</v>
      </c>
      <c r="E171" s="7">
        <f>SUM(C$5:C171)</f>
        <v>0</v>
      </c>
      <c r="F171" s="7">
        <f>SUM(D$5:D171)</f>
        <v>0</v>
      </c>
      <c r="G171" s="7">
        <f>$D$1-'Amort Schedule - Flip'!F171</f>
        <v>0</v>
      </c>
      <c r="H171" s="11" t="e">
        <f t="shared" si="24"/>
        <v>#DIV/0!</v>
      </c>
      <c r="J171" s="127">
        <f t="shared" si="27"/>
        <v>0</v>
      </c>
      <c r="K171" s="127">
        <f t="shared" si="28"/>
        <v>0</v>
      </c>
      <c r="L171" s="7">
        <f t="shared" si="29"/>
        <v>0</v>
      </c>
      <c r="M171" s="7">
        <f t="shared" si="30"/>
        <v>0</v>
      </c>
      <c r="N171" s="7">
        <f t="shared" si="31"/>
        <v>0</v>
      </c>
      <c r="O171" s="7">
        <f t="shared" si="32"/>
        <v>0</v>
      </c>
    </row>
    <row r="172" spans="1:15" s="6" customFormat="1" x14ac:dyDescent="0.2">
      <c r="A172" s="6">
        <f t="shared" si="25"/>
        <v>168</v>
      </c>
      <c r="B172" s="128">
        <f t="shared" si="26"/>
        <v>0</v>
      </c>
      <c r="C172" s="128">
        <f t="shared" si="22"/>
        <v>0</v>
      </c>
      <c r="D172" s="128">
        <f t="shared" si="23"/>
        <v>0</v>
      </c>
      <c r="E172" s="128">
        <f>SUM(C$5:C172)</f>
        <v>0</v>
      </c>
      <c r="F172" s="128">
        <f>SUM(D$5:D172)</f>
        <v>0</v>
      </c>
      <c r="G172" s="128">
        <f>$D$1-'Amort Schedule - Flip'!F172</f>
        <v>0</v>
      </c>
      <c r="H172" s="124" t="e">
        <f t="shared" si="24"/>
        <v>#DIV/0!</v>
      </c>
      <c r="J172" s="127">
        <f t="shared" si="27"/>
        <v>0</v>
      </c>
      <c r="K172" s="127">
        <f t="shared" si="28"/>
        <v>0</v>
      </c>
      <c r="L172" s="7">
        <f t="shared" si="29"/>
        <v>0</v>
      </c>
      <c r="M172" s="7">
        <f t="shared" si="30"/>
        <v>0</v>
      </c>
      <c r="N172" s="7">
        <f t="shared" si="31"/>
        <v>0</v>
      </c>
      <c r="O172" s="7">
        <f t="shared" si="32"/>
        <v>0</v>
      </c>
    </row>
    <row r="173" spans="1:15" x14ac:dyDescent="0.2">
      <c r="A173">
        <f t="shared" si="25"/>
        <v>169</v>
      </c>
      <c r="B173" s="7">
        <f t="shared" si="26"/>
        <v>0</v>
      </c>
      <c r="C173" s="7">
        <f t="shared" si="22"/>
        <v>0</v>
      </c>
      <c r="D173" s="7">
        <f t="shared" si="23"/>
        <v>0</v>
      </c>
      <c r="E173" s="7">
        <f>SUM(C$5:C173)</f>
        <v>0</v>
      </c>
      <c r="F173" s="7">
        <f>SUM(D$5:D173)</f>
        <v>0</v>
      </c>
      <c r="G173" s="7">
        <f>$D$1-'Amort Schedule - Flip'!F173</f>
        <v>0</v>
      </c>
      <c r="H173" s="11" t="e">
        <f t="shared" si="24"/>
        <v>#DIV/0!</v>
      </c>
      <c r="J173" s="127">
        <f t="shared" si="27"/>
        <v>0</v>
      </c>
      <c r="K173" s="127">
        <f t="shared" si="28"/>
        <v>0</v>
      </c>
      <c r="L173" s="7">
        <f t="shared" si="29"/>
        <v>0</v>
      </c>
      <c r="M173" s="7">
        <f t="shared" si="30"/>
        <v>0</v>
      </c>
      <c r="N173" s="7">
        <f t="shared" si="31"/>
        <v>0</v>
      </c>
      <c r="O173" s="7">
        <f t="shared" si="32"/>
        <v>0</v>
      </c>
    </row>
    <row r="174" spans="1:15" x14ac:dyDescent="0.2">
      <c r="A174">
        <f t="shared" si="25"/>
        <v>170</v>
      </c>
      <c r="B174" s="7">
        <f t="shared" si="26"/>
        <v>0</v>
      </c>
      <c r="C174" s="7">
        <f t="shared" si="22"/>
        <v>0</v>
      </c>
      <c r="D174" s="7">
        <f t="shared" si="23"/>
        <v>0</v>
      </c>
      <c r="E174" s="7">
        <f>SUM(C$5:C174)</f>
        <v>0</v>
      </c>
      <c r="F174" s="7">
        <f>SUM(D$5:D174)</f>
        <v>0</v>
      </c>
      <c r="G174" s="7">
        <f>$D$1-'Amort Schedule - Flip'!F174</f>
        <v>0</v>
      </c>
      <c r="H174" s="11" t="e">
        <f t="shared" si="24"/>
        <v>#DIV/0!</v>
      </c>
      <c r="J174" s="127">
        <f t="shared" si="27"/>
        <v>0</v>
      </c>
      <c r="K174" s="127">
        <f t="shared" si="28"/>
        <v>0</v>
      </c>
      <c r="L174" s="7">
        <f t="shared" si="29"/>
        <v>0</v>
      </c>
      <c r="M174" s="7">
        <f t="shared" si="30"/>
        <v>0</v>
      </c>
      <c r="N174" s="7">
        <f t="shared" si="31"/>
        <v>0</v>
      </c>
      <c r="O174" s="7">
        <f t="shared" si="32"/>
        <v>0</v>
      </c>
    </row>
    <row r="175" spans="1:15" x14ac:dyDescent="0.2">
      <c r="A175">
        <f t="shared" si="25"/>
        <v>171</v>
      </c>
      <c r="B175" s="7">
        <f t="shared" si="26"/>
        <v>0</v>
      </c>
      <c r="C175" s="7">
        <f t="shared" si="22"/>
        <v>0</v>
      </c>
      <c r="D175" s="7">
        <f t="shared" si="23"/>
        <v>0</v>
      </c>
      <c r="E175" s="7">
        <f>SUM(C$5:C175)</f>
        <v>0</v>
      </c>
      <c r="F175" s="7">
        <f>SUM(D$5:D175)</f>
        <v>0</v>
      </c>
      <c r="G175" s="7">
        <f>$D$1-'Amort Schedule - Flip'!F175</f>
        <v>0</v>
      </c>
      <c r="H175" s="11" t="e">
        <f t="shared" si="24"/>
        <v>#DIV/0!</v>
      </c>
      <c r="J175" s="127">
        <f t="shared" si="27"/>
        <v>0</v>
      </c>
      <c r="K175" s="127">
        <f t="shared" si="28"/>
        <v>0</v>
      </c>
      <c r="L175" s="7">
        <f t="shared" si="29"/>
        <v>0</v>
      </c>
      <c r="M175" s="7">
        <f t="shared" si="30"/>
        <v>0</v>
      </c>
      <c r="N175" s="7">
        <f t="shared" si="31"/>
        <v>0</v>
      </c>
      <c r="O175" s="7">
        <f t="shared" si="32"/>
        <v>0</v>
      </c>
    </row>
    <row r="176" spans="1:15" x14ac:dyDescent="0.2">
      <c r="A176">
        <f t="shared" si="25"/>
        <v>172</v>
      </c>
      <c r="B176" s="7">
        <f t="shared" si="26"/>
        <v>0</v>
      </c>
      <c r="C176" s="7">
        <f t="shared" si="22"/>
        <v>0</v>
      </c>
      <c r="D176" s="7">
        <f t="shared" si="23"/>
        <v>0</v>
      </c>
      <c r="E176" s="7">
        <f>SUM(C$5:C176)</f>
        <v>0</v>
      </c>
      <c r="F176" s="7">
        <f>SUM(D$5:D176)</f>
        <v>0</v>
      </c>
      <c r="G176" s="7">
        <f>$D$1-'Amort Schedule - Flip'!F176</f>
        <v>0</v>
      </c>
      <c r="H176" s="11" t="e">
        <f t="shared" si="24"/>
        <v>#DIV/0!</v>
      </c>
      <c r="J176" s="127">
        <f t="shared" si="27"/>
        <v>0</v>
      </c>
      <c r="K176" s="127">
        <f t="shared" si="28"/>
        <v>0</v>
      </c>
      <c r="L176" s="7">
        <f t="shared" si="29"/>
        <v>0</v>
      </c>
      <c r="M176" s="7">
        <f t="shared" si="30"/>
        <v>0</v>
      </c>
      <c r="N176" s="7">
        <f t="shared" si="31"/>
        <v>0</v>
      </c>
      <c r="O176" s="7">
        <f t="shared" si="32"/>
        <v>0</v>
      </c>
    </row>
    <row r="177" spans="1:15" x14ac:dyDescent="0.2">
      <c r="A177">
        <f t="shared" si="25"/>
        <v>173</v>
      </c>
      <c r="B177" s="7">
        <f t="shared" si="26"/>
        <v>0</v>
      </c>
      <c r="C177" s="7">
        <f t="shared" si="22"/>
        <v>0</v>
      </c>
      <c r="D177" s="7">
        <f t="shared" si="23"/>
        <v>0</v>
      </c>
      <c r="E177" s="7">
        <f>SUM(C$5:C177)</f>
        <v>0</v>
      </c>
      <c r="F177" s="7">
        <f>SUM(D$5:D177)</f>
        <v>0</v>
      </c>
      <c r="G177" s="7">
        <f>$D$1-'Amort Schedule - Flip'!F177</f>
        <v>0</v>
      </c>
      <c r="H177" s="11" t="e">
        <f t="shared" si="24"/>
        <v>#DIV/0!</v>
      </c>
      <c r="J177" s="127">
        <f t="shared" si="27"/>
        <v>0</v>
      </c>
      <c r="K177" s="127">
        <f t="shared" si="28"/>
        <v>0</v>
      </c>
      <c r="L177" s="7">
        <f t="shared" si="29"/>
        <v>0</v>
      </c>
      <c r="M177" s="7">
        <f t="shared" si="30"/>
        <v>0</v>
      </c>
      <c r="N177" s="7">
        <f t="shared" si="31"/>
        <v>0</v>
      </c>
      <c r="O177" s="7">
        <f t="shared" si="32"/>
        <v>0</v>
      </c>
    </row>
    <row r="178" spans="1:15" x14ac:dyDescent="0.2">
      <c r="A178">
        <f t="shared" si="25"/>
        <v>174</v>
      </c>
      <c r="B178" s="7">
        <f t="shared" si="26"/>
        <v>0</v>
      </c>
      <c r="C178" s="7">
        <f t="shared" si="22"/>
        <v>0</v>
      </c>
      <c r="D178" s="7">
        <f t="shared" si="23"/>
        <v>0</v>
      </c>
      <c r="E178" s="7">
        <f>SUM(C$5:C178)</f>
        <v>0</v>
      </c>
      <c r="F178" s="7">
        <f>SUM(D$5:D178)</f>
        <v>0</v>
      </c>
      <c r="G178" s="7">
        <f>$D$1-'Amort Schedule - Flip'!F178</f>
        <v>0</v>
      </c>
      <c r="H178" s="11" t="e">
        <f t="shared" si="24"/>
        <v>#DIV/0!</v>
      </c>
      <c r="J178" s="127">
        <f t="shared" si="27"/>
        <v>0</v>
      </c>
      <c r="K178" s="127">
        <f t="shared" si="28"/>
        <v>0</v>
      </c>
      <c r="L178" s="7">
        <f t="shared" si="29"/>
        <v>0</v>
      </c>
      <c r="M178" s="7">
        <f t="shared" si="30"/>
        <v>0</v>
      </c>
      <c r="N178" s="7">
        <f t="shared" si="31"/>
        <v>0</v>
      </c>
      <c r="O178" s="7">
        <f t="shared" si="32"/>
        <v>0</v>
      </c>
    </row>
    <row r="179" spans="1:15" x14ac:dyDescent="0.2">
      <c r="A179">
        <f t="shared" si="25"/>
        <v>175</v>
      </c>
      <c r="B179" s="7">
        <f t="shared" si="26"/>
        <v>0</v>
      </c>
      <c r="C179" s="7">
        <f t="shared" si="22"/>
        <v>0</v>
      </c>
      <c r="D179" s="7">
        <f t="shared" si="23"/>
        <v>0</v>
      </c>
      <c r="E179" s="7">
        <f>SUM(C$5:C179)</f>
        <v>0</v>
      </c>
      <c r="F179" s="7">
        <f>SUM(D$5:D179)</f>
        <v>0</v>
      </c>
      <c r="G179" s="7">
        <f>$D$1-'Amort Schedule - Flip'!F179</f>
        <v>0</v>
      </c>
      <c r="H179" s="11" t="e">
        <f t="shared" si="24"/>
        <v>#DIV/0!</v>
      </c>
      <c r="J179" s="127">
        <f t="shared" si="27"/>
        <v>0</v>
      </c>
      <c r="K179" s="127">
        <f t="shared" si="28"/>
        <v>0</v>
      </c>
      <c r="L179" s="7">
        <f t="shared" si="29"/>
        <v>0</v>
      </c>
      <c r="M179" s="7">
        <f t="shared" si="30"/>
        <v>0</v>
      </c>
      <c r="N179" s="7">
        <f t="shared" si="31"/>
        <v>0</v>
      </c>
      <c r="O179" s="7">
        <f t="shared" si="32"/>
        <v>0</v>
      </c>
    </row>
    <row r="180" spans="1:15" x14ac:dyDescent="0.2">
      <c r="A180">
        <f t="shared" si="25"/>
        <v>176</v>
      </c>
      <c r="B180" s="7">
        <f t="shared" si="26"/>
        <v>0</v>
      </c>
      <c r="C180" s="7">
        <f t="shared" si="22"/>
        <v>0</v>
      </c>
      <c r="D180" s="7">
        <f t="shared" si="23"/>
        <v>0</v>
      </c>
      <c r="E180" s="7">
        <f>SUM(C$5:C180)</f>
        <v>0</v>
      </c>
      <c r="F180" s="7">
        <f>SUM(D$5:D180)</f>
        <v>0</v>
      </c>
      <c r="G180" s="7">
        <f>$D$1-'Amort Schedule - Flip'!F180</f>
        <v>0</v>
      </c>
      <c r="H180" s="11" t="e">
        <f t="shared" si="24"/>
        <v>#DIV/0!</v>
      </c>
      <c r="J180" s="127">
        <f t="shared" si="27"/>
        <v>0</v>
      </c>
      <c r="K180" s="127">
        <f t="shared" si="28"/>
        <v>0</v>
      </c>
      <c r="L180" s="7">
        <f t="shared" si="29"/>
        <v>0</v>
      </c>
      <c r="M180" s="7">
        <f t="shared" si="30"/>
        <v>0</v>
      </c>
      <c r="N180" s="7">
        <f t="shared" si="31"/>
        <v>0</v>
      </c>
      <c r="O180" s="7">
        <f t="shared" si="32"/>
        <v>0</v>
      </c>
    </row>
    <row r="181" spans="1:15" x14ac:dyDescent="0.2">
      <c r="A181">
        <f t="shared" si="25"/>
        <v>177</v>
      </c>
      <c r="B181" s="7">
        <f t="shared" si="26"/>
        <v>0</v>
      </c>
      <c r="C181" s="7">
        <f t="shared" si="22"/>
        <v>0</v>
      </c>
      <c r="D181" s="7">
        <f t="shared" si="23"/>
        <v>0</v>
      </c>
      <c r="E181" s="7">
        <f>SUM(C$5:C181)</f>
        <v>0</v>
      </c>
      <c r="F181" s="7">
        <f>SUM(D$5:D181)</f>
        <v>0</v>
      </c>
      <c r="G181" s="7">
        <f>$D$1-'Amort Schedule - Flip'!F181</f>
        <v>0</v>
      </c>
      <c r="H181" s="11" t="e">
        <f t="shared" si="24"/>
        <v>#DIV/0!</v>
      </c>
      <c r="J181" s="127">
        <f t="shared" si="27"/>
        <v>0</v>
      </c>
      <c r="K181" s="127">
        <f t="shared" si="28"/>
        <v>0</v>
      </c>
      <c r="L181" s="7">
        <f t="shared" si="29"/>
        <v>0</v>
      </c>
      <c r="M181" s="7">
        <f t="shared" si="30"/>
        <v>0</v>
      </c>
      <c r="N181" s="7">
        <f t="shared" si="31"/>
        <v>0</v>
      </c>
      <c r="O181" s="7">
        <f t="shared" si="32"/>
        <v>0</v>
      </c>
    </row>
    <row r="182" spans="1:15" x14ac:dyDescent="0.2">
      <c r="A182">
        <f t="shared" si="25"/>
        <v>178</v>
      </c>
      <c r="B182" s="7">
        <f t="shared" si="26"/>
        <v>0</v>
      </c>
      <c r="C182" s="7">
        <f t="shared" si="22"/>
        <v>0</v>
      </c>
      <c r="D182" s="7">
        <f t="shared" si="23"/>
        <v>0</v>
      </c>
      <c r="E182" s="7">
        <f>SUM(C$5:C182)</f>
        <v>0</v>
      </c>
      <c r="F182" s="7">
        <f>SUM(D$5:D182)</f>
        <v>0</v>
      </c>
      <c r="G182" s="7">
        <f>$D$1-'Amort Schedule - Flip'!F182</f>
        <v>0</v>
      </c>
      <c r="H182" s="11" t="e">
        <f t="shared" si="24"/>
        <v>#DIV/0!</v>
      </c>
      <c r="J182" s="127">
        <f t="shared" si="27"/>
        <v>0</v>
      </c>
      <c r="K182" s="127">
        <f t="shared" si="28"/>
        <v>0</v>
      </c>
      <c r="L182" s="7">
        <f t="shared" si="29"/>
        <v>0</v>
      </c>
      <c r="M182" s="7">
        <f t="shared" si="30"/>
        <v>0</v>
      </c>
      <c r="N182" s="7">
        <f t="shared" si="31"/>
        <v>0</v>
      </c>
      <c r="O182" s="7">
        <f t="shared" si="32"/>
        <v>0</v>
      </c>
    </row>
    <row r="183" spans="1:15" x14ac:dyDescent="0.2">
      <c r="A183">
        <f t="shared" si="25"/>
        <v>179</v>
      </c>
      <c r="B183" s="7">
        <f t="shared" si="26"/>
        <v>0</v>
      </c>
      <c r="C183" s="7">
        <f t="shared" si="22"/>
        <v>0</v>
      </c>
      <c r="D183" s="7">
        <f t="shared" si="23"/>
        <v>0</v>
      </c>
      <c r="E183" s="7">
        <f>SUM(C$5:C183)</f>
        <v>0</v>
      </c>
      <c r="F183" s="7">
        <f>SUM(D$5:D183)</f>
        <v>0</v>
      </c>
      <c r="G183" s="7">
        <f>$D$1-'Amort Schedule - Flip'!F183</f>
        <v>0</v>
      </c>
      <c r="H183" s="11" t="e">
        <f t="shared" si="24"/>
        <v>#DIV/0!</v>
      </c>
      <c r="J183" s="127">
        <f t="shared" si="27"/>
        <v>0</v>
      </c>
      <c r="K183" s="127">
        <f t="shared" si="28"/>
        <v>0</v>
      </c>
      <c r="L183" s="7">
        <f t="shared" si="29"/>
        <v>0</v>
      </c>
      <c r="M183" s="7">
        <f t="shared" si="30"/>
        <v>0</v>
      </c>
      <c r="N183" s="7">
        <f t="shared" si="31"/>
        <v>0</v>
      </c>
      <c r="O183" s="7">
        <f t="shared" si="32"/>
        <v>0</v>
      </c>
    </row>
    <row r="184" spans="1:15" s="6" customFormat="1" x14ac:dyDescent="0.2">
      <c r="A184" s="6">
        <f t="shared" si="25"/>
        <v>180</v>
      </c>
      <c r="B184" s="128">
        <f t="shared" si="26"/>
        <v>0</v>
      </c>
      <c r="C184" s="128">
        <f t="shared" si="22"/>
        <v>0</v>
      </c>
      <c r="D184" s="128">
        <f t="shared" si="23"/>
        <v>0</v>
      </c>
      <c r="E184" s="128">
        <f>SUM(C$5:C184)</f>
        <v>0</v>
      </c>
      <c r="F184" s="128">
        <f>SUM(D$5:D184)</f>
        <v>0</v>
      </c>
      <c r="G184" s="128">
        <f>$D$1-'Amort Schedule - Flip'!F184</f>
        <v>0</v>
      </c>
      <c r="H184" s="124" t="e">
        <f t="shared" si="24"/>
        <v>#DIV/0!</v>
      </c>
      <c r="J184" s="127">
        <f t="shared" si="27"/>
        <v>0</v>
      </c>
      <c r="K184" s="127">
        <f t="shared" si="28"/>
        <v>0</v>
      </c>
      <c r="L184" s="7">
        <f t="shared" si="29"/>
        <v>0</v>
      </c>
      <c r="M184" s="7">
        <f t="shared" si="30"/>
        <v>0</v>
      </c>
      <c r="N184" s="7">
        <f t="shared" si="31"/>
        <v>0</v>
      </c>
      <c r="O184" s="7">
        <f t="shared" si="32"/>
        <v>0</v>
      </c>
    </row>
    <row r="185" spans="1:15" x14ac:dyDescent="0.2">
      <c r="A185">
        <f t="shared" si="25"/>
        <v>181</v>
      </c>
      <c r="B185" s="7">
        <f t="shared" si="26"/>
        <v>0</v>
      </c>
      <c r="C185" s="7">
        <f t="shared" si="22"/>
        <v>0</v>
      </c>
      <c r="D185" s="7">
        <f t="shared" si="23"/>
        <v>0</v>
      </c>
      <c r="E185" s="7">
        <f>SUM(C$5:C185)</f>
        <v>0</v>
      </c>
      <c r="F185" s="7">
        <f>SUM(D$5:D185)</f>
        <v>0</v>
      </c>
      <c r="G185" s="7">
        <f>$D$1-'Amort Schedule - Flip'!F185</f>
        <v>0</v>
      </c>
      <c r="H185" s="11" t="e">
        <f t="shared" si="24"/>
        <v>#DIV/0!</v>
      </c>
      <c r="J185" s="127">
        <f t="shared" si="27"/>
        <v>0</v>
      </c>
      <c r="K185" s="127">
        <f t="shared" si="28"/>
        <v>0</v>
      </c>
      <c r="L185" s="7">
        <f t="shared" si="29"/>
        <v>0</v>
      </c>
      <c r="M185" s="7">
        <f t="shared" si="30"/>
        <v>0</v>
      </c>
      <c r="N185" s="7">
        <f t="shared" si="31"/>
        <v>0</v>
      </c>
      <c r="O185" s="7">
        <f t="shared" si="32"/>
        <v>0</v>
      </c>
    </row>
    <row r="186" spans="1:15" x14ac:dyDescent="0.2">
      <c r="A186">
        <f t="shared" si="25"/>
        <v>182</v>
      </c>
      <c r="B186" s="7">
        <f t="shared" si="26"/>
        <v>0</v>
      </c>
      <c r="C186" s="7">
        <f t="shared" si="22"/>
        <v>0</v>
      </c>
      <c r="D186" s="7">
        <f t="shared" si="23"/>
        <v>0</v>
      </c>
      <c r="E186" s="7">
        <f>SUM(C$5:C186)</f>
        <v>0</v>
      </c>
      <c r="F186" s="7">
        <f>SUM(D$5:D186)</f>
        <v>0</v>
      </c>
      <c r="G186" s="7">
        <f>$D$1-'Amort Schedule - Flip'!F186</f>
        <v>0</v>
      </c>
      <c r="H186" s="11" t="e">
        <f t="shared" si="24"/>
        <v>#DIV/0!</v>
      </c>
      <c r="J186" s="127">
        <f t="shared" si="27"/>
        <v>0</v>
      </c>
      <c r="K186" s="127">
        <f t="shared" si="28"/>
        <v>0</v>
      </c>
      <c r="L186" s="7">
        <f t="shared" si="29"/>
        <v>0</v>
      </c>
      <c r="M186" s="7">
        <f t="shared" si="30"/>
        <v>0</v>
      </c>
      <c r="N186" s="7">
        <f t="shared" si="31"/>
        <v>0</v>
      </c>
      <c r="O186" s="7">
        <f t="shared" si="32"/>
        <v>0</v>
      </c>
    </row>
    <row r="187" spans="1:15" x14ac:dyDescent="0.2">
      <c r="A187">
        <f t="shared" si="25"/>
        <v>183</v>
      </c>
      <c r="B187" s="7">
        <f t="shared" si="26"/>
        <v>0</v>
      </c>
      <c r="C187" s="7">
        <f t="shared" si="22"/>
        <v>0</v>
      </c>
      <c r="D187" s="7">
        <f t="shared" si="23"/>
        <v>0</v>
      </c>
      <c r="E187" s="7">
        <f>SUM(C$5:C187)</f>
        <v>0</v>
      </c>
      <c r="F187" s="7">
        <f>SUM(D$5:D187)</f>
        <v>0</v>
      </c>
      <c r="G187" s="7">
        <f>$D$1-'Amort Schedule - Flip'!F187</f>
        <v>0</v>
      </c>
      <c r="H187" s="11" t="e">
        <f t="shared" si="24"/>
        <v>#DIV/0!</v>
      </c>
      <c r="J187" s="127">
        <f t="shared" si="27"/>
        <v>0</v>
      </c>
      <c r="K187" s="127">
        <f t="shared" si="28"/>
        <v>0</v>
      </c>
      <c r="L187" s="7">
        <f t="shared" si="29"/>
        <v>0</v>
      </c>
      <c r="M187" s="7">
        <f t="shared" si="30"/>
        <v>0</v>
      </c>
      <c r="N187" s="7">
        <f t="shared" si="31"/>
        <v>0</v>
      </c>
      <c r="O187" s="7">
        <f t="shared" si="32"/>
        <v>0</v>
      </c>
    </row>
    <row r="188" spans="1:15" x14ac:dyDescent="0.2">
      <c r="A188">
        <f t="shared" si="25"/>
        <v>184</v>
      </c>
      <c r="B188" s="7">
        <f t="shared" si="26"/>
        <v>0</v>
      </c>
      <c r="C188" s="7">
        <f t="shared" si="22"/>
        <v>0</v>
      </c>
      <c r="D188" s="7">
        <f t="shared" si="23"/>
        <v>0</v>
      </c>
      <c r="E188" s="7">
        <f>SUM(C$5:C188)</f>
        <v>0</v>
      </c>
      <c r="F188" s="7">
        <f>SUM(D$5:D188)</f>
        <v>0</v>
      </c>
      <c r="G188" s="7">
        <f>$D$1-'Amort Schedule - Flip'!F188</f>
        <v>0</v>
      </c>
      <c r="H188" s="11" t="e">
        <f t="shared" si="24"/>
        <v>#DIV/0!</v>
      </c>
      <c r="J188" s="127">
        <f t="shared" si="27"/>
        <v>0</v>
      </c>
      <c r="K188" s="127">
        <f t="shared" si="28"/>
        <v>0</v>
      </c>
      <c r="L188" s="7">
        <f t="shared" si="29"/>
        <v>0</v>
      </c>
      <c r="M188" s="7">
        <f t="shared" si="30"/>
        <v>0</v>
      </c>
      <c r="N188" s="7">
        <f t="shared" si="31"/>
        <v>0</v>
      </c>
      <c r="O188" s="7">
        <f t="shared" si="32"/>
        <v>0</v>
      </c>
    </row>
    <row r="189" spans="1:15" x14ac:dyDescent="0.2">
      <c r="A189">
        <f t="shared" si="25"/>
        <v>185</v>
      </c>
      <c r="B189" s="7">
        <f t="shared" si="26"/>
        <v>0</v>
      </c>
      <c r="C189" s="7">
        <f t="shared" si="22"/>
        <v>0</v>
      </c>
      <c r="D189" s="7">
        <f t="shared" si="23"/>
        <v>0</v>
      </c>
      <c r="E189" s="7">
        <f>SUM(C$5:C189)</f>
        <v>0</v>
      </c>
      <c r="F189" s="7">
        <f>SUM(D$5:D189)</f>
        <v>0</v>
      </c>
      <c r="G189" s="7">
        <f>$D$1-'Amort Schedule - Flip'!F189</f>
        <v>0</v>
      </c>
      <c r="H189" s="11" t="e">
        <f t="shared" si="24"/>
        <v>#DIV/0!</v>
      </c>
      <c r="J189" s="127">
        <f t="shared" si="27"/>
        <v>0</v>
      </c>
      <c r="K189" s="127">
        <f t="shared" si="28"/>
        <v>0</v>
      </c>
      <c r="L189" s="7">
        <f t="shared" si="29"/>
        <v>0</v>
      </c>
      <c r="M189" s="7">
        <f t="shared" si="30"/>
        <v>0</v>
      </c>
      <c r="N189" s="7">
        <f t="shared" si="31"/>
        <v>0</v>
      </c>
      <c r="O189" s="7">
        <f t="shared" si="32"/>
        <v>0</v>
      </c>
    </row>
    <row r="190" spans="1:15" x14ac:dyDescent="0.2">
      <c r="A190">
        <f t="shared" si="25"/>
        <v>186</v>
      </c>
      <c r="B190" s="7">
        <f t="shared" si="26"/>
        <v>0</v>
      </c>
      <c r="C190" s="7">
        <f t="shared" si="22"/>
        <v>0</v>
      </c>
      <c r="D190" s="7">
        <f t="shared" si="23"/>
        <v>0</v>
      </c>
      <c r="E190" s="7">
        <f>SUM(C$5:C190)</f>
        <v>0</v>
      </c>
      <c r="F190" s="7">
        <f>SUM(D$5:D190)</f>
        <v>0</v>
      </c>
      <c r="G190" s="7">
        <f>$D$1-'Amort Schedule - Flip'!F190</f>
        <v>0</v>
      </c>
      <c r="H190" s="11" t="e">
        <f t="shared" si="24"/>
        <v>#DIV/0!</v>
      </c>
      <c r="J190" s="127">
        <f t="shared" si="27"/>
        <v>0</v>
      </c>
      <c r="K190" s="127">
        <f t="shared" si="28"/>
        <v>0</v>
      </c>
      <c r="L190" s="7">
        <f t="shared" si="29"/>
        <v>0</v>
      </c>
      <c r="M190" s="7">
        <f t="shared" si="30"/>
        <v>0</v>
      </c>
      <c r="N190" s="7">
        <f t="shared" si="31"/>
        <v>0</v>
      </c>
      <c r="O190" s="7">
        <f t="shared" si="32"/>
        <v>0</v>
      </c>
    </row>
    <row r="191" spans="1:15" x14ac:dyDescent="0.2">
      <c r="A191">
        <f t="shared" si="25"/>
        <v>187</v>
      </c>
      <c r="B191" s="7">
        <f t="shared" si="26"/>
        <v>0</v>
      </c>
      <c r="C191" s="7">
        <f t="shared" si="22"/>
        <v>0</v>
      </c>
      <c r="D191" s="7">
        <f t="shared" si="23"/>
        <v>0</v>
      </c>
      <c r="E191" s="7">
        <f>SUM(C$5:C191)</f>
        <v>0</v>
      </c>
      <c r="F191" s="7">
        <f>SUM(D$5:D191)</f>
        <v>0</v>
      </c>
      <c r="G191" s="7">
        <f>$D$1-'Amort Schedule - Flip'!F191</f>
        <v>0</v>
      </c>
      <c r="H191" s="11" t="e">
        <f t="shared" si="24"/>
        <v>#DIV/0!</v>
      </c>
      <c r="J191" s="127">
        <f t="shared" si="27"/>
        <v>0</v>
      </c>
      <c r="K191" s="127">
        <f t="shared" si="28"/>
        <v>0</v>
      </c>
      <c r="L191" s="7">
        <f t="shared" si="29"/>
        <v>0</v>
      </c>
      <c r="M191" s="7">
        <f t="shared" si="30"/>
        <v>0</v>
      </c>
      <c r="N191" s="7">
        <f t="shared" si="31"/>
        <v>0</v>
      </c>
      <c r="O191" s="7">
        <f t="shared" si="32"/>
        <v>0</v>
      </c>
    </row>
    <row r="192" spans="1:15" x14ac:dyDescent="0.2">
      <c r="A192">
        <f t="shared" si="25"/>
        <v>188</v>
      </c>
      <c r="B192" s="7">
        <f t="shared" si="26"/>
        <v>0</v>
      </c>
      <c r="C192" s="7">
        <f t="shared" si="22"/>
        <v>0</v>
      </c>
      <c r="D192" s="7">
        <f t="shared" si="23"/>
        <v>0</v>
      </c>
      <c r="E192" s="7">
        <f>SUM(C$5:C192)</f>
        <v>0</v>
      </c>
      <c r="F192" s="7">
        <f>SUM(D$5:D192)</f>
        <v>0</v>
      </c>
      <c r="G192" s="7">
        <f>$D$1-'Amort Schedule - Flip'!F192</f>
        <v>0</v>
      </c>
      <c r="H192" s="11" t="e">
        <f t="shared" si="24"/>
        <v>#DIV/0!</v>
      </c>
      <c r="J192" s="127">
        <f t="shared" si="27"/>
        <v>0</v>
      </c>
      <c r="K192" s="127">
        <f t="shared" si="28"/>
        <v>0</v>
      </c>
      <c r="L192" s="7">
        <f t="shared" si="29"/>
        <v>0</v>
      </c>
      <c r="M192" s="7">
        <f t="shared" si="30"/>
        <v>0</v>
      </c>
      <c r="N192" s="7">
        <f t="shared" si="31"/>
        <v>0</v>
      </c>
      <c r="O192" s="7">
        <f t="shared" si="32"/>
        <v>0</v>
      </c>
    </row>
    <row r="193" spans="1:15" x14ac:dyDescent="0.2">
      <c r="A193">
        <f t="shared" si="25"/>
        <v>189</v>
      </c>
      <c r="B193" s="7">
        <f t="shared" si="26"/>
        <v>0</v>
      </c>
      <c r="C193" s="7">
        <f t="shared" si="22"/>
        <v>0</v>
      </c>
      <c r="D193" s="7">
        <f t="shared" si="23"/>
        <v>0</v>
      </c>
      <c r="E193" s="7">
        <f>SUM(C$5:C193)</f>
        <v>0</v>
      </c>
      <c r="F193" s="7">
        <f>SUM(D$5:D193)</f>
        <v>0</v>
      </c>
      <c r="G193" s="7">
        <f>$D$1-'Amort Schedule - Flip'!F193</f>
        <v>0</v>
      </c>
      <c r="H193" s="11" t="e">
        <f t="shared" si="24"/>
        <v>#DIV/0!</v>
      </c>
      <c r="J193" s="127">
        <f t="shared" si="27"/>
        <v>0</v>
      </c>
      <c r="K193" s="127">
        <f t="shared" si="28"/>
        <v>0</v>
      </c>
      <c r="L193" s="7">
        <f t="shared" si="29"/>
        <v>0</v>
      </c>
      <c r="M193" s="7">
        <f t="shared" si="30"/>
        <v>0</v>
      </c>
      <c r="N193" s="7">
        <f t="shared" si="31"/>
        <v>0</v>
      </c>
      <c r="O193" s="7">
        <f t="shared" si="32"/>
        <v>0</v>
      </c>
    </row>
    <row r="194" spans="1:15" x14ac:dyDescent="0.2">
      <c r="A194">
        <f t="shared" si="25"/>
        <v>190</v>
      </c>
      <c r="B194" s="7">
        <f t="shared" si="26"/>
        <v>0</v>
      </c>
      <c r="C194" s="7">
        <f t="shared" si="22"/>
        <v>0</v>
      </c>
      <c r="D194" s="7">
        <f t="shared" si="23"/>
        <v>0</v>
      </c>
      <c r="E194" s="7">
        <f>SUM(C$5:C194)</f>
        <v>0</v>
      </c>
      <c r="F194" s="7">
        <f>SUM(D$5:D194)</f>
        <v>0</v>
      </c>
      <c r="G194" s="7">
        <f>$D$1-'Amort Schedule - Flip'!F194</f>
        <v>0</v>
      </c>
      <c r="H194" s="11" t="e">
        <f t="shared" si="24"/>
        <v>#DIV/0!</v>
      </c>
      <c r="J194" s="127">
        <f t="shared" si="27"/>
        <v>0</v>
      </c>
      <c r="K194" s="127">
        <f t="shared" si="28"/>
        <v>0</v>
      </c>
      <c r="L194" s="7">
        <f t="shared" si="29"/>
        <v>0</v>
      </c>
      <c r="M194" s="7">
        <f t="shared" si="30"/>
        <v>0</v>
      </c>
      <c r="N194" s="7">
        <f t="shared" si="31"/>
        <v>0</v>
      </c>
      <c r="O194" s="7">
        <f t="shared" si="32"/>
        <v>0</v>
      </c>
    </row>
    <row r="195" spans="1:15" x14ac:dyDescent="0.2">
      <c r="A195">
        <f t="shared" si="25"/>
        <v>191</v>
      </c>
      <c r="B195" s="7">
        <f t="shared" si="26"/>
        <v>0</v>
      </c>
      <c r="C195" s="7">
        <f t="shared" si="22"/>
        <v>0</v>
      </c>
      <c r="D195" s="7">
        <f t="shared" si="23"/>
        <v>0</v>
      </c>
      <c r="E195" s="7">
        <f>SUM(C$5:C195)</f>
        <v>0</v>
      </c>
      <c r="F195" s="7">
        <f>SUM(D$5:D195)</f>
        <v>0</v>
      </c>
      <c r="G195" s="7">
        <f>$D$1-'Amort Schedule - Flip'!F195</f>
        <v>0</v>
      </c>
      <c r="H195" s="11" t="e">
        <f t="shared" si="24"/>
        <v>#DIV/0!</v>
      </c>
      <c r="J195" s="127">
        <f t="shared" si="27"/>
        <v>0</v>
      </c>
      <c r="K195" s="127">
        <f t="shared" si="28"/>
        <v>0</v>
      </c>
      <c r="L195" s="7">
        <f t="shared" si="29"/>
        <v>0</v>
      </c>
      <c r="M195" s="7">
        <f t="shared" si="30"/>
        <v>0</v>
      </c>
      <c r="N195" s="7">
        <f t="shared" si="31"/>
        <v>0</v>
      </c>
      <c r="O195" s="7">
        <f t="shared" si="32"/>
        <v>0</v>
      </c>
    </row>
    <row r="196" spans="1:15" s="6" customFormat="1" x14ac:dyDescent="0.2">
      <c r="A196" s="6">
        <f t="shared" si="25"/>
        <v>192</v>
      </c>
      <c r="B196" s="128">
        <f t="shared" si="26"/>
        <v>0</v>
      </c>
      <c r="C196" s="128">
        <f t="shared" si="22"/>
        <v>0</v>
      </c>
      <c r="D196" s="128">
        <f t="shared" si="23"/>
        <v>0</v>
      </c>
      <c r="E196" s="128">
        <f>SUM(C$5:C196)</f>
        <v>0</v>
      </c>
      <c r="F196" s="128">
        <f>SUM(D$5:D196)</f>
        <v>0</v>
      </c>
      <c r="G196" s="128">
        <f>$D$1-'Amort Schedule - Flip'!F196</f>
        <v>0</v>
      </c>
      <c r="H196" s="124" t="e">
        <f t="shared" si="24"/>
        <v>#DIV/0!</v>
      </c>
      <c r="J196" s="127">
        <f t="shared" si="27"/>
        <v>0</v>
      </c>
      <c r="K196" s="127">
        <f t="shared" si="28"/>
        <v>0</v>
      </c>
      <c r="L196" s="7">
        <f t="shared" si="29"/>
        <v>0</v>
      </c>
      <c r="M196" s="7">
        <f t="shared" si="30"/>
        <v>0</v>
      </c>
      <c r="N196" s="7">
        <f t="shared" si="31"/>
        <v>0</v>
      </c>
      <c r="O196" s="7">
        <f t="shared" si="32"/>
        <v>0</v>
      </c>
    </row>
    <row r="197" spans="1:15" x14ac:dyDescent="0.2">
      <c r="A197">
        <f t="shared" si="25"/>
        <v>193</v>
      </c>
      <c r="B197" s="7">
        <f t="shared" si="26"/>
        <v>0</v>
      </c>
      <c r="C197" s="7">
        <f t="shared" si="22"/>
        <v>0</v>
      </c>
      <c r="D197" s="7">
        <f t="shared" si="23"/>
        <v>0</v>
      </c>
      <c r="E197" s="7">
        <f>SUM(C$5:C197)</f>
        <v>0</v>
      </c>
      <c r="F197" s="7">
        <f>SUM(D$5:D197)</f>
        <v>0</v>
      </c>
      <c r="G197" s="7">
        <f>$D$1-'Amort Schedule - Flip'!F197</f>
        <v>0</v>
      </c>
      <c r="H197" s="11" t="e">
        <f t="shared" si="24"/>
        <v>#DIV/0!</v>
      </c>
      <c r="J197" s="127">
        <f t="shared" si="27"/>
        <v>0</v>
      </c>
      <c r="K197" s="127">
        <f t="shared" si="28"/>
        <v>0</v>
      </c>
      <c r="L197" s="7">
        <f t="shared" si="29"/>
        <v>0</v>
      </c>
      <c r="M197" s="7">
        <f t="shared" si="30"/>
        <v>0</v>
      </c>
      <c r="N197" s="7">
        <f t="shared" si="31"/>
        <v>0</v>
      </c>
      <c r="O197" s="7">
        <f t="shared" si="32"/>
        <v>0</v>
      </c>
    </row>
    <row r="198" spans="1:15" x14ac:dyDescent="0.2">
      <c r="A198">
        <f t="shared" si="25"/>
        <v>194</v>
      </c>
      <c r="B198" s="7">
        <f t="shared" si="26"/>
        <v>0</v>
      </c>
      <c r="C198" s="7">
        <f t="shared" ref="C198:C261" si="33">-IPMT($D$2/12,A198,$D$3,$D$1)</f>
        <v>0</v>
      </c>
      <c r="D198" s="7">
        <f t="shared" ref="D198:D261" si="34">-PPMT($D$2/12,A198,$D$3,$D$1)</f>
        <v>0</v>
      </c>
      <c r="E198" s="7">
        <f>SUM(C$5:C198)</f>
        <v>0</v>
      </c>
      <c r="F198" s="7">
        <f>SUM(D$5:D198)</f>
        <v>0</v>
      </c>
      <c r="G198" s="7">
        <f>$D$1-'Amort Schedule - Flip'!F198</f>
        <v>0</v>
      </c>
      <c r="H198" s="11" t="e">
        <f t="shared" ref="H198:H261" si="35">G198/$D$1</f>
        <v>#DIV/0!</v>
      </c>
      <c r="J198" s="127">
        <f t="shared" si="27"/>
        <v>0</v>
      </c>
      <c r="K198" s="127">
        <f t="shared" si="28"/>
        <v>0</v>
      </c>
      <c r="L198" s="7">
        <f t="shared" si="29"/>
        <v>0</v>
      </c>
      <c r="M198" s="7">
        <f t="shared" si="30"/>
        <v>0</v>
      </c>
      <c r="N198" s="7">
        <f t="shared" si="31"/>
        <v>0</v>
      </c>
      <c r="O198" s="7">
        <f t="shared" si="32"/>
        <v>0</v>
      </c>
    </row>
    <row r="199" spans="1:15" x14ac:dyDescent="0.2">
      <c r="A199">
        <f t="shared" ref="A199:A262" si="36">A198+1</f>
        <v>195</v>
      </c>
      <c r="B199" s="7">
        <f t="shared" ref="B199:B262" si="37">B198</f>
        <v>0</v>
      </c>
      <c r="C199" s="7">
        <f t="shared" si="33"/>
        <v>0</v>
      </c>
      <c r="D199" s="7">
        <f t="shared" si="34"/>
        <v>0</v>
      </c>
      <c r="E199" s="7">
        <f>SUM(C$5:C199)</f>
        <v>0</v>
      </c>
      <c r="F199" s="7">
        <f>SUM(D$5:D199)</f>
        <v>0</v>
      </c>
      <c r="G199" s="7">
        <f>$D$1-'Amort Schedule - Flip'!F199</f>
        <v>0</v>
      </c>
      <c r="H199" s="11" t="e">
        <f t="shared" si="35"/>
        <v>#DIV/0!</v>
      </c>
      <c r="J199" s="127">
        <f t="shared" ref="J199:J262" si="38">J198</f>
        <v>0</v>
      </c>
      <c r="K199" s="127">
        <f t="shared" ref="K199:K262" si="39">J199+K198</f>
        <v>0</v>
      </c>
      <c r="L199" s="7">
        <f t="shared" ref="L199:L262" si="40">B199-J199</f>
        <v>0</v>
      </c>
      <c r="M199" s="7">
        <f t="shared" ref="M199:M262" si="41">M198+L199</f>
        <v>0</v>
      </c>
      <c r="N199" s="7">
        <f t="shared" ref="N199:N262" si="42">C199-J199</f>
        <v>0</v>
      </c>
      <c r="O199" s="7">
        <f t="shared" ref="O199:O262" si="43">O198+N199</f>
        <v>0</v>
      </c>
    </row>
    <row r="200" spans="1:15" x14ac:dyDescent="0.2">
      <c r="A200">
        <f t="shared" si="36"/>
        <v>196</v>
      </c>
      <c r="B200" s="7">
        <f t="shared" si="37"/>
        <v>0</v>
      </c>
      <c r="C200" s="7">
        <f t="shared" si="33"/>
        <v>0</v>
      </c>
      <c r="D200" s="7">
        <f t="shared" si="34"/>
        <v>0</v>
      </c>
      <c r="E200" s="7">
        <f>SUM(C$5:C200)</f>
        <v>0</v>
      </c>
      <c r="F200" s="7">
        <f>SUM(D$5:D200)</f>
        <v>0</v>
      </c>
      <c r="G200" s="7">
        <f>$D$1-'Amort Schedule - Flip'!F200</f>
        <v>0</v>
      </c>
      <c r="H200" s="11" t="e">
        <f t="shared" si="35"/>
        <v>#DIV/0!</v>
      </c>
      <c r="J200" s="127">
        <f t="shared" si="38"/>
        <v>0</v>
      </c>
      <c r="K200" s="127">
        <f t="shared" si="39"/>
        <v>0</v>
      </c>
      <c r="L200" s="7">
        <f t="shared" si="40"/>
        <v>0</v>
      </c>
      <c r="M200" s="7">
        <f t="shared" si="41"/>
        <v>0</v>
      </c>
      <c r="N200" s="7">
        <f t="shared" si="42"/>
        <v>0</v>
      </c>
      <c r="O200" s="7">
        <f t="shared" si="43"/>
        <v>0</v>
      </c>
    </row>
    <row r="201" spans="1:15" x14ac:dyDescent="0.2">
      <c r="A201">
        <f t="shared" si="36"/>
        <v>197</v>
      </c>
      <c r="B201" s="7">
        <f t="shared" si="37"/>
        <v>0</v>
      </c>
      <c r="C201" s="7">
        <f t="shared" si="33"/>
        <v>0</v>
      </c>
      <c r="D201" s="7">
        <f t="shared" si="34"/>
        <v>0</v>
      </c>
      <c r="E201" s="7">
        <f>SUM(C$5:C201)</f>
        <v>0</v>
      </c>
      <c r="F201" s="7">
        <f>SUM(D$5:D201)</f>
        <v>0</v>
      </c>
      <c r="G201" s="7">
        <f>$D$1-'Amort Schedule - Flip'!F201</f>
        <v>0</v>
      </c>
      <c r="H201" s="11" t="e">
        <f t="shared" si="35"/>
        <v>#DIV/0!</v>
      </c>
      <c r="J201" s="127">
        <f t="shared" si="38"/>
        <v>0</v>
      </c>
      <c r="K201" s="127">
        <f t="shared" si="39"/>
        <v>0</v>
      </c>
      <c r="L201" s="7">
        <f t="shared" si="40"/>
        <v>0</v>
      </c>
      <c r="M201" s="7">
        <f t="shared" si="41"/>
        <v>0</v>
      </c>
      <c r="N201" s="7">
        <f t="shared" si="42"/>
        <v>0</v>
      </c>
      <c r="O201" s="7">
        <f t="shared" si="43"/>
        <v>0</v>
      </c>
    </row>
    <row r="202" spans="1:15" x14ac:dyDescent="0.2">
      <c r="A202">
        <f t="shared" si="36"/>
        <v>198</v>
      </c>
      <c r="B202" s="7">
        <f t="shared" si="37"/>
        <v>0</v>
      </c>
      <c r="C202" s="7">
        <f t="shared" si="33"/>
        <v>0</v>
      </c>
      <c r="D202" s="7">
        <f t="shared" si="34"/>
        <v>0</v>
      </c>
      <c r="E202" s="7">
        <f>SUM(C$5:C202)</f>
        <v>0</v>
      </c>
      <c r="F202" s="7">
        <f>SUM(D$5:D202)</f>
        <v>0</v>
      </c>
      <c r="G202" s="7">
        <f>$D$1-'Amort Schedule - Flip'!F202</f>
        <v>0</v>
      </c>
      <c r="H202" s="11" t="e">
        <f t="shared" si="35"/>
        <v>#DIV/0!</v>
      </c>
      <c r="J202" s="127">
        <f t="shared" si="38"/>
        <v>0</v>
      </c>
      <c r="K202" s="127">
        <f t="shared" si="39"/>
        <v>0</v>
      </c>
      <c r="L202" s="7">
        <f t="shared" si="40"/>
        <v>0</v>
      </c>
      <c r="M202" s="7">
        <f t="shared" si="41"/>
        <v>0</v>
      </c>
      <c r="N202" s="7">
        <f t="shared" si="42"/>
        <v>0</v>
      </c>
      <c r="O202" s="7">
        <f t="shared" si="43"/>
        <v>0</v>
      </c>
    </row>
    <row r="203" spans="1:15" x14ac:dyDescent="0.2">
      <c r="A203">
        <f t="shared" si="36"/>
        <v>199</v>
      </c>
      <c r="B203" s="7">
        <f t="shared" si="37"/>
        <v>0</v>
      </c>
      <c r="C203" s="7">
        <f t="shared" si="33"/>
        <v>0</v>
      </c>
      <c r="D203" s="7">
        <f t="shared" si="34"/>
        <v>0</v>
      </c>
      <c r="E203" s="7">
        <f>SUM(C$5:C203)</f>
        <v>0</v>
      </c>
      <c r="F203" s="7">
        <f>SUM(D$5:D203)</f>
        <v>0</v>
      </c>
      <c r="G203" s="7">
        <f>$D$1-'Amort Schedule - Flip'!F203</f>
        <v>0</v>
      </c>
      <c r="H203" s="11" t="e">
        <f t="shared" si="35"/>
        <v>#DIV/0!</v>
      </c>
      <c r="J203" s="127">
        <f t="shared" si="38"/>
        <v>0</v>
      </c>
      <c r="K203" s="127">
        <f t="shared" si="39"/>
        <v>0</v>
      </c>
      <c r="L203" s="7">
        <f t="shared" si="40"/>
        <v>0</v>
      </c>
      <c r="M203" s="7">
        <f t="shared" si="41"/>
        <v>0</v>
      </c>
      <c r="N203" s="7">
        <f t="shared" si="42"/>
        <v>0</v>
      </c>
      <c r="O203" s="7">
        <f t="shared" si="43"/>
        <v>0</v>
      </c>
    </row>
    <row r="204" spans="1:15" x14ac:dyDescent="0.2">
      <c r="A204">
        <f t="shared" si="36"/>
        <v>200</v>
      </c>
      <c r="B204" s="7">
        <f t="shared" si="37"/>
        <v>0</v>
      </c>
      <c r="C204" s="7">
        <f t="shared" si="33"/>
        <v>0</v>
      </c>
      <c r="D204" s="7">
        <f t="shared" si="34"/>
        <v>0</v>
      </c>
      <c r="E204" s="7">
        <f>SUM(C$5:C204)</f>
        <v>0</v>
      </c>
      <c r="F204" s="7">
        <f>SUM(D$5:D204)</f>
        <v>0</v>
      </c>
      <c r="G204" s="7">
        <f>$D$1-'Amort Schedule - Flip'!F204</f>
        <v>0</v>
      </c>
      <c r="H204" s="11" t="e">
        <f t="shared" si="35"/>
        <v>#DIV/0!</v>
      </c>
      <c r="J204" s="127">
        <f t="shared" si="38"/>
        <v>0</v>
      </c>
      <c r="K204" s="127">
        <f t="shared" si="39"/>
        <v>0</v>
      </c>
      <c r="L204" s="7">
        <f t="shared" si="40"/>
        <v>0</v>
      </c>
      <c r="M204" s="7">
        <f t="shared" si="41"/>
        <v>0</v>
      </c>
      <c r="N204" s="7">
        <f t="shared" si="42"/>
        <v>0</v>
      </c>
      <c r="O204" s="7">
        <f t="shared" si="43"/>
        <v>0</v>
      </c>
    </row>
    <row r="205" spans="1:15" x14ac:dyDescent="0.2">
      <c r="A205">
        <f t="shared" si="36"/>
        <v>201</v>
      </c>
      <c r="B205" s="7">
        <f t="shared" si="37"/>
        <v>0</v>
      </c>
      <c r="C205" s="7">
        <f t="shared" si="33"/>
        <v>0</v>
      </c>
      <c r="D205" s="7">
        <f t="shared" si="34"/>
        <v>0</v>
      </c>
      <c r="E205" s="7">
        <f>SUM(C$5:C205)</f>
        <v>0</v>
      </c>
      <c r="F205" s="7">
        <f>SUM(D$5:D205)</f>
        <v>0</v>
      </c>
      <c r="G205" s="7">
        <f>$D$1-'Amort Schedule - Flip'!F205</f>
        <v>0</v>
      </c>
      <c r="H205" s="11" t="e">
        <f t="shared" si="35"/>
        <v>#DIV/0!</v>
      </c>
      <c r="J205" s="127">
        <f t="shared" si="38"/>
        <v>0</v>
      </c>
      <c r="K205" s="127">
        <f t="shared" si="39"/>
        <v>0</v>
      </c>
      <c r="L205" s="7">
        <f t="shared" si="40"/>
        <v>0</v>
      </c>
      <c r="M205" s="7">
        <f t="shared" si="41"/>
        <v>0</v>
      </c>
      <c r="N205" s="7">
        <f t="shared" si="42"/>
        <v>0</v>
      </c>
      <c r="O205" s="7">
        <f t="shared" si="43"/>
        <v>0</v>
      </c>
    </row>
    <row r="206" spans="1:15" x14ac:dyDescent="0.2">
      <c r="A206">
        <f t="shared" si="36"/>
        <v>202</v>
      </c>
      <c r="B206" s="7">
        <f t="shared" si="37"/>
        <v>0</v>
      </c>
      <c r="C206" s="7">
        <f t="shared" si="33"/>
        <v>0</v>
      </c>
      <c r="D206" s="7">
        <f t="shared" si="34"/>
        <v>0</v>
      </c>
      <c r="E206" s="7">
        <f>SUM(C$5:C206)</f>
        <v>0</v>
      </c>
      <c r="F206" s="7">
        <f>SUM(D$5:D206)</f>
        <v>0</v>
      </c>
      <c r="G206" s="7">
        <f>$D$1-'Amort Schedule - Flip'!F206</f>
        <v>0</v>
      </c>
      <c r="H206" s="11" t="e">
        <f t="shared" si="35"/>
        <v>#DIV/0!</v>
      </c>
      <c r="J206" s="127">
        <f t="shared" si="38"/>
        <v>0</v>
      </c>
      <c r="K206" s="127">
        <f t="shared" si="39"/>
        <v>0</v>
      </c>
      <c r="L206" s="7">
        <f t="shared" si="40"/>
        <v>0</v>
      </c>
      <c r="M206" s="7">
        <f t="shared" si="41"/>
        <v>0</v>
      </c>
      <c r="N206" s="7">
        <f t="shared" si="42"/>
        <v>0</v>
      </c>
      <c r="O206" s="7">
        <f t="shared" si="43"/>
        <v>0</v>
      </c>
    </row>
    <row r="207" spans="1:15" x14ac:dyDescent="0.2">
      <c r="A207">
        <f t="shared" si="36"/>
        <v>203</v>
      </c>
      <c r="B207" s="7">
        <f t="shared" si="37"/>
        <v>0</v>
      </c>
      <c r="C207" s="7">
        <f t="shared" si="33"/>
        <v>0</v>
      </c>
      <c r="D207" s="7">
        <f t="shared" si="34"/>
        <v>0</v>
      </c>
      <c r="E207" s="7">
        <f>SUM(C$5:C207)</f>
        <v>0</v>
      </c>
      <c r="F207" s="7">
        <f>SUM(D$5:D207)</f>
        <v>0</v>
      </c>
      <c r="G207" s="7">
        <f>$D$1-'Amort Schedule - Flip'!F207</f>
        <v>0</v>
      </c>
      <c r="H207" s="11" t="e">
        <f t="shared" si="35"/>
        <v>#DIV/0!</v>
      </c>
      <c r="J207" s="127">
        <f t="shared" si="38"/>
        <v>0</v>
      </c>
      <c r="K207" s="127">
        <f t="shared" si="39"/>
        <v>0</v>
      </c>
      <c r="L207" s="7">
        <f t="shared" si="40"/>
        <v>0</v>
      </c>
      <c r="M207" s="7">
        <f t="shared" si="41"/>
        <v>0</v>
      </c>
      <c r="N207" s="7">
        <f t="shared" si="42"/>
        <v>0</v>
      </c>
      <c r="O207" s="7">
        <f t="shared" si="43"/>
        <v>0</v>
      </c>
    </row>
    <row r="208" spans="1:15" s="6" customFormat="1" x14ac:dyDescent="0.2">
      <c r="A208" s="6">
        <f t="shared" si="36"/>
        <v>204</v>
      </c>
      <c r="B208" s="128">
        <f t="shared" si="37"/>
        <v>0</v>
      </c>
      <c r="C208" s="128">
        <f t="shared" si="33"/>
        <v>0</v>
      </c>
      <c r="D208" s="128">
        <f t="shared" si="34"/>
        <v>0</v>
      </c>
      <c r="E208" s="128">
        <f>SUM(C$5:C208)</f>
        <v>0</v>
      </c>
      <c r="F208" s="128">
        <f>SUM(D$5:D208)</f>
        <v>0</v>
      </c>
      <c r="G208" s="128">
        <f>$D$1-'Amort Schedule - Flip'!F208</f>
        <v>0</v>
      </c>
      <c r="H208" s="124" t="e">
        <f t="shared" si="35"/>
        <v>#DIV/0!</v>
      </c>
      <c r="J208" s="127">
        <f t="shared" si="38"/>
        <v>0</v>
      </c>
      <c r="K208" s="127">
        <f t="shared" si="39"/>
        <v>0</v>
      </c>
      <c r="L208" s="7">
        <f t="shared" si="40"/>
        <v>0</v>
      </c>
      <c r="M208" s="7">
        <f t="shared" si="41"/>
        <v>0</v>
      </c>
      <c r="N208" s="7">
        <f t="shared" si="42"/>
        <v>0</v>
      </c>
      <c r="O208" s="7">
        <f t="shared" si="43"/>
        <v>0</v>
      </c>
    </row>
    <row r="209" spans="1:15" x14ac:dyDescent="0.2">
      <c r="A209">
        <f t="shared" si="36"/>
        <v>205</v>
      </c>
      <c r="B209" s="7">
        <f t="shared" si="37"/>
        <v>0</v>
      </c>
      <c r="C209" s="7">
        <f t="shared" si="33"/>
        <v>0</v>
      </c>
      <c r="D209" s="7">
        <f t="shared" si="34"/>
        <v>0</v>
      </c>
      <c r="E209" s="7">
        <f>SUM(C$5:C209)</f>
        <v>0</v>
      </c>
      <c r="F209" s="7">
        <f>SUM(D$5:D209)</f>
        <v>0</v>
      </c>
      <c r="G209" s="7">
        <f>$D$1-'Amort Schedule - Flip'!F209</f>
        <v>0</v>
      </c>
      <c r="H209" s="11" t="e">
        <f t="shared" si="35"/>
        <v>#DIV/0!</v>
      </c>
      <c r="J209" s="127">
        <f t="shared" si="38"/>
        <v>0</v>
      </c>
      <c r="K209" s="127">
        <f t="shared" si="39"/>
        <v>0</v>
      </c>
      <c r="L209" s="7">
        <f t="shared" si="40"/>
        <v>0</v>
      </c>
      <c r="M209" s="7">
        <f t="shared" si="41"/>
        <v>0</v>
      </c>
      <c r="N209" s="7">
        <f t="shared" si="42"/>
        <v>0</v>
      </c>
      <c r="O209" s="7">
        <f t="shared" si="43"/>
        <v>0</v>
      </c>
    </row>
    <row r="210" spans="1:15" x14ac:dyDescent="0.2">
      <c r="A210">
        <f t="shared" si="36"/>
        <v>206</v>
      </c>
      <c r="B210" s="7">
        <f t="shared" si="37"/>
        <v>0</v>
      </c>
      <c r="C210" s="7">
        <f t="shared" si="33"/>
        <v>0</v>
      </c>
      <c r="D210" s="7">
        <f t="shared" si="34"/>
        <v>0</v>
      </c>
      <c r="E210" s="7">
        <f>SUM(C$5:C210)</f>
        <v>0</v>
      </c>
      <c r="F210" s="7">
        <f>SUM(D$5:D210)</f>
        <v>0</v>
      </c>
      <c r="G210" s="7">
        <f>$D$1-'Amort Schedule - Flip'!F210</f>
        <v>0</v>
      </c>
      <c r="H210" s="11" t="e">
        <f t="shared" si="35"/>
        <v>#DIV/0!</v>
      </c>
      <c r="J210" s="127">
        <f t="shared" si="38"/>
        <v>0</v>
      </c>
      <c r="K210" s="127">
        <f t="shared" si="39"/>
        <v>0</v>
      </c>
      <c r="L210" s="7">
        <f t="shared" si="40"/>
        <v>0</v>
      </c>
      <c r="M210" s="7">
        <f t="shared" si="41"/>
        <v>0</v>
      </c>
      <c r="N210" s="7">
        <f t="shared" si="42"/>
        <v>0</v>
      </c>
      <c r="O210" s="7">
        <f t="shared" si="43"/>
        <v>0</v>
      </c>
    </row>
    <row r="211" spans="1:15" x14ac:dyDescent="0.2">
      <c r="A211">
        <f t="shared" si="36"/>
        <v>207</v>
      </c>
      <c r="B211" s="7">
        <f t="shared" si="37"/>
        <v>0</v>
      </c>
      <c r="C211" s="7">
        <f t="shared" si="33"/>
        <v>0</v>
      </c>
      <c r="D211" s="7">
        <f t="shared" si="34"/>
        <v>0</v>
      </c>
      <c r="E211" s="7">
        <f>SUM(C$5:C211)</f>
        <v>0</v>
      </c>
      <c r="F211" s="7">
        <f>SUM(D$5:D211)</f>
        <v>0</v>
      </c>
      <c r="G211" s="7">
        <f>$D$1-'Amort Schedule - Flip'!F211</f>
        <v>0</v>
      </c>
      <c r="H211" s="11" t="e">
        <f t="shared" si="35"/>
        <v>#DIV/0!</v>
      </c>
      <c r="J211" s="127">
        <f t="shared" si="38"/>
        <v>0</v>
      </c>
      <c r="K211" s="127">
        <f t="shared" si="39"/>
        <v>0</v>
      </c>
      <c r="L211" s="7">
        <f t="shared" si="40"/>
        <v>0</v>
      </c>
      <c r="M211" s="7">
        <f t="shared" si="41"/>
        <v>0</v>
      </c>
      <c r="N211" s="7">
        <f t="shared" si="42"/>
        <v>0</v>
      </c>
      <c r="O211" s="7">
        <f t="shared" si="43"/>
        <v>0</v>
      </c>
    </row>
    <row r="212" spans="1:15" x14ac:dyDescent="0.2">
      <c r="A212">
        <f t="shared" si="36"/>
        <v>208</v>
      </c>
      <c r="B212" s="7">
        <f t="shared" si="37"/>
        <v>0</v>
      </c>
      <c r="C212" s="7">
        <f t="shared" si="33"/>
        <v>0</v>
      </c>
      <c r="D212" s="7">
        <f t="shared" si="34"/>
        <v>0</v>
      </c>
      <c r="E212" s="7">
        <f>SUM(C$5:C212)</f>
        <v>0</v>
      </c>
      <c r="F212" s="7">
        <f>SUM(D$5:D212)</f>
        <v>0</v>
      </c>
      <c r="G212" s="7">
        <f>$D$1-'Amort Schedule - Flip'!F212</f>
        <v>0</v>
      </c>
      <c r="H212" s="11" t="e">
        <f t="shared" si="35"/>
        <v>#DIV/0!</v>
      </c>
      <c r="J212" s="127">
        <f t="shared" si="38"/>
        <v>0</v>
      </c>
      <c r="K212" s="127">
        <f t="shared" si="39"/>
        <v>0</v>
      </c>
      <c r="L212" s="7">
        <f t="shared" si="40"/>
        <v>0</v>
      </c>
      <c r="M212" s="7">
        <f t="shared" si="41"/>
        <v>0</v>
      </c>
      <c r="N212" s="7">
        <f t="shared" si="42"/>
        <v>0</v>
      </c>
      <c r="O212" s="7">
        <f t="shared" si="43"/>
        <v>0</v>
      </c>
    </row>
    <row r="213" spans="1:15" x14ac:dyDescent="0.2">
      <c r="A213">
        <f t="shared" si="36"/>
        <v>209</v>
      </c>
      <c r="B213" s="7">
        <f t="shared" si="37"/>
        <v>0</v>
      </c>
      <c r="C213" s="7">
        <f t="shared" si="33"/>
        <v>0</v>
      </c>
      <c r="D213" s="7">
        <f t="shared" si="34"/>
        <v>0</v>
      </c>
      <c r="E213" s="7">
        <f>SUM(C$5:C213)</f>
        <v>0</v>
      </c>
      <c r="F213" s="7">
        <f>SUM(D$5:D213)</f>
        <v>0</v>
      </c>
      <c r="G213" s="7">
        <f>$D$1-'Amort Schedule - Flip'!F213</f>
        <v>0</v>
      </c>
      <c r="H213" s="11" t="e">
        <f t="shared" si="35"/>
        <v>#DIV/0!</v>
      </c>
      <c r="J213" s="127">
        <f t="shared" si="38"/>
        <v>0</v>
      </c>
      <c r="K213" s="127">
        <f t="shared" si="39"/>
        <v>0</v>
      </c>
      <c r="L213" s="7">
        <f t="shared" si="40"/>
        <v>0</v>
      </c>
      <c r="M213" s="7">
        <f t="shared" si="41"/>
        <v>0</v>
      </c>
      <c r="N213" s="7">
        <f t="shared" si="42"/>
        <v>0</v>
      </c>
      <c r="O213" s="7">
        <f t="shared" si="43"/>
        <v>0</v>
      </c>
    </row>
    <row r="214" spans="1:15" x14ac:dyDescent="0.2">
      <c r="A214">
        <f t="shared" si="36"/>
        <v>210</v>
      </c>
      <c r="B214" s="7">
        <f t="shared" si="37"/>
        <v>0</v>
      </c>
      <c r="C214" s="7">
        <f t="shared" si="33"/>
        <v>0</v>
      </c>
      <c r="D214" s="7">
        <f t="shared" si="34"/>
        <v>0</v>
      </c>
      <c r="E214" s="7">
        <f>SUM(C$5:C214)</f>
        <v>0</v>
      </c>
      <c r="F214" s="7">
        <f>SUM(D$5:D214)</f>
        <v>0</v>
      </c>
      <c r="G214" s="7">
        <f>$D$1-'Amort Schedule - Flip'!F214</f>
        <v>0</v>
      </c>
      <c r="H214" s="11" t="e">
        <f t="shared" si="35"/>
        <v>#DIV/0!</v>
      </c>
      <c r="J214" s="127">
        <f t="shared" si="38"/>
        <v>0</v>
      </c>
      <c r="K214" s="127">
        <f t="shared" si="39"/>
        <v>0</v>
      </c>
      <c r="L214" s="7">
        <f t="shared" si="40"/>
        <v>0</v>
      </c>
      <c r="M214" s="7">
        <f t="shared" si="41"/>
        <v>0</v>
      </c>
      <c r="N214" s="7">
        <f t="shared" si="42"/>
        <v>0</v>
      </c>
      <c r="O214" s="7">
        <f t="shared" si="43"/>
        <v>0</v>
      </c>
    </row>
    <row r="215" spans="1:15" x14ac:dyDescent="0.2">
      <c r="A215">
        <f t="shared" si="36"/>
        <v>211</v>
      </c>
      <c r="B215" s="7">
        <f t="shared" si="37"/>
        <v>0</v>
      </c>
      <c r="C215" s="7">
        <f t="shared" si="33"/>
        <v>0</v>
      </c>
      <c r="D215" s="7">
        <f t="shared" si="34"/>
        <v>0</v>
      </c>
      <c r="E215" s="7">
        <f>SUM(C$5:C215)</f>
        <v>0</v>
      </c>
      <c r="F215" s="7">
        <f>SUM(D$5:D215)</f>
        <v>0</v>
      </c>
      <c r="G215" s="7">
        <f>$D$1-'Amort Schedule - Flip'!F215</f>
        <v>0</v>
      </c>
      <c r="H215" s="11" t="e">
        <f t="shared" si="35"/>
        <v>#DIV/0!</v>
      </c>
      <c r="J215" s="127">
        <f t="shared" si="38"/>
        <v>0</v>
      </c>
      <c r="K215" s="127">
        <f t="shared" si="39"/>
        <v>0</v>
      </c>
      <c r="L215" s="7">
        <f t="shared" si="40"/>
        <v>0</v>
      </c>
      <c r="M215" s="7">
        <f t="shared" si="41"/>
        <v>0</v>
      </c>
      <c r="N215" s="7">
        <f t="shared" si="42"/>
        <v>0</v>
      </c>
      <c r="O215" s="7">
        <f t="shared" si="43"/>
        <v>0</v>
      </c>
    </row>
    <row r="216" spans="1:15" x14ac:dyDescent="0.2">
      <c r="A216">
        <f t="shared" si="36"/>
        <v>212</v>
      </c>
      <c r="B216" s="7">
        <f t="shared" si="37"/>
        <v>0</v>
      </c>
      <c r="C216" s="7">
        <f t="shared" si="33"/>
        <v>0</v>
      </c>
      <c r="D216" s="7">
        <f t="shared" si="34"/>
        <v>0</v>
      </c>
      <c r="E216" s="7">
        <f>SUM(C$5:C216)</f>
        <v>0</v>
      </c>
      <c r="F216" s="7">
        <f>SUM(D$5:D216)</f>
        <v>0</v>
      </c>
      <c r="G216" s="7">
        <f>$D$1-'Amort Schedule - Flip'!F216</f>
        <v>0</v>
      </c>
      <c r="H216" s="11" t="e">
        <f t="shared" si="35"/>
        <v>#DIV/0!</v>
      </c>
      <c r="J216" s="127">
        <f t="shared" si="38"/>
        <v>0</v>
      </c>
      <c r="K216" s="127">
        <f t="shared" si="39"/>
        <v>0</v>
      </c>
      <c r="L216" s="7">
        <f t="shared" si="40"/>
        <v>0</v>
      </c>
      <c r="M216" s="7">
        <f t="shared" si="41"/>
        <v>0</v>
      </c>
      <c r="N216" s="7">
        <f t="shared" si="42"/>
        <v>0</v>
      </c>
      <c r="O216" s="7">
        <f t="shared" si="43"/>
        <v>0</v>
      </c>
    </row>
    <row r="217" spans="1:15" x14ac:dyDescent="0.2">
      <c r="A217">
        <f t="shared" si="36"/>
        <v>213</v>
      </c>
      <c r="B217" s="7">
        <f t="shared" si="37"/>
        <v>0</v>
      </c>
      <c r="C217" s="7">
        <f t="shared" si="33"/>
        <v>0</v>
      </c>
      <c r="D217" s="7">
        <f t="shared" si="34"/>
        <v>0</v>
      </c>
      <c r="E217" s="7">
        <f>SUM(C$5:C217)</f>
        <v>0</v>
      </c>
      <c r="F217" s="7">
        <f>SUM(D$5:D217)</f>
        <v>0</v>
      </c>
      <c r="G217" s="7">
        <f>$D$1-'Amort Schedule - Flip'!F217</f>
        <v>0</v>
      </c>
      <c r="H217" s="11" t="e">
        <f t="shared" si="35"/>
        <v>#DIV/0!</v>
      </c>
      <c r="J217" s="127">
        <f t="shared" si="38"/>
        <v>0</v>
      </c>
      <c r="K217" s="127">
        <f t="shared" si="39"/>
        <v>0</v>
      </c>
      <c r="L217" s="7">
        <f t="shared" si="40"/>
        <v>0</v>
      </c>
      <c r="M217" s="7">
        <f t="shared" si="41"/>
        <v>0</v>
      </c>
      <c r="N217" s="7">
        <f t="shared" si="42"/>
        <v>0</v>
      </c>
      <c r="O217" s="7">
        <f t="shared" si="43"/>
        <v>0</v>
      </c>
    </row>
    <row r="218" spans="1:15" x14ac:dyDescent="0.2">
      <c r="A218">
        <f t="shared" si="36"/>
        <v>214</v>
      </c>
      <c r="B218" s="7">
        <f t="shared" si="37"/>
        <v>0</v>
      </c>
      <c r="C218" s="7">
        <f t="shared" si="33"/>
        <v>0</v>
      </c>
      <c r="D218" s="7">
        <f t="shared" si="34"/>
        <v>0</v>
      </c>
      <c r="E218" s="7">
        <f>SUM(C$5:C218)</f>
        <v>0</v>
      </c>
      <c r="F218" s="7">
        <f>SUM(D$5:D218)</f>
        <v>0</v>
      </c>
      <c r="G218" s="7">
        <f>$D$1-'Amort Schedule - Flip'!F218</f>
        <v>0</v>
      </c>
      <c r="H218" s="11" t="e">
        <f t="shared" si="35"/>
        <v>#DIV/0!</v>
      </c>
      <c r="J218" s="127">
        <f t="shared" si="38"/>
        <v>0</v>
      </c>
      <c r="K218" s="127">
        <f t="shared" si="39"/>
        <v>0</v>
      </c>
      <c r="L218" s="7">
        <f t="shared" si="40"/>
        <v>0</v>
      </c>
      <c r="M218" s="7">
        <f t="shared" si="41"/>
        <v>0</v>
      </c>
      <c r="N218" s="7">
        <f t="shared" si="42"/>
        <v>0</v>
      </c>
      <c r="O218" s="7">
        <f t="shared" si="43"/>
        <v>0</v>
      </c>
    </row>
    <row r="219" spans="1:15" x14ac:dyDescent="0.2">
      <c r="A219">
        <f t="shared" si="36"/>
        <v>215</v>
      </c>
      <c r="B219" s="7">
        <f t="shared" si="37"/>
        <v>0</v>
      </c>
      <c r="C219" s="7">
        <f t="shared" si="33"/>
        <v>0</v>
      </c>
      <c r="D219" s="7">
        <f t="shared" si="34"/>
        <v>0</v>
      </c>
      <c r="E219" s="7">
        <f>SUM(C$5:C219)</f>
        <v>0</v>
      </c>
      <c r="F219" s="7">
        <f>SUM(D$5:D219)</f>
        <v>0</v>
      </c>
      <c r="G219" s="7">
        <f>$D$1-'Amort Schedule - Flip'!F219</f>
        <v>0</v>
      </c>
      <c r="H219" s="11" t="e">
        <f t="shared" si="35"/>
        <v>#DIV/0!</v>
      </c>
      <c r="J219" s="127">
        <f t="shared" si="38"/>
        <v>0</v>
      </c>
      <c r="K219" s="127">
        <f t="shared" si="39"/>
        <v>0</v>
      </c>
      <c r="L219" s="7">
        <f t="shared" si="40"/>
        <v>0</v>
      </c>
      <c r="M219" s="7">
        <f t="shared" si="41"/>
        <v>0</v>
      </c>
      <c r="N219" s="7">
        <f t="shared" si="42"/>
        <v>0</v>
      </c>
      <c r="O219" s="7">
        <f t="shared" si="43"/>
        <v>0</v>
      </c>
    </row>
    <row r="220" spans="1:15" s="6" customFormat="1" x14ac:dyDescent="0.2">
      <c r="A220" s="6">
        <f t="shared" si="36"/>
        <v>216</v>
      </c>
      <c r="B220" s="128">
        <f t="shared" si="37"/>
        <v>0</v>
      </c>
      <c r="C220" s="128">
        <f t="shared" si="33"/>
        <v>0</v>
      </c>
      <c r="D220" s="128">
        <f t="shared" si="34"/>
        <v>0</v>
      </c>
      <c r="E220" s="128">
        <f>SUM(C$5:C220)</f>
        <v>0</v>
      </c>
      <c r="F220" s="128">
        <f>SUM(D$5:D220)</f>
        <v>0</v>
      </c>
      <c r="G220" s="128">
        <f>$D$1-'Amort Schedule - Flip'!F220</f>
        <v>0</v>
      </c>
      <c r="H220" s="124" t="e">
        <f t="shared" si="35"/>
        <v>#DIV/0!</v>
      </c>
      <c r="J220" s="127">
        <f t="shared" si="38"/>
        <v>0</v>
      </c>
      <c r="K220" s="127">
        <f t="shared" si="39"/>
        <v>0</v>
      </c>
      <c r="L220" s="7">
        <f t="shared" si="40"/>
        <v>0</v>
      </c>
      <c r="M220" s="7">
        <f t="shared" si="41"/>
        <v>0</v>
      </c>
      <c r="N220" s="7">
        <f t="shared" si="42"/>
        <v>0</v>
      </c>
      <c r="O220" s="7">
        <f t="shared" si="43"/>
        <v>0</v>
      </c>
    </row>
    <row r="221" spans="1:15" x14ac:dyDescent="0.2">
      <c r="A221">
        <f t="shared" si="36"/>
        <v>217</v>
      </c>
      <c r="B221" s="7">
        <f t="shared" si="37"/>
        <v>0</v>
      </c>
      <c r="C221" s="7">
        <f t="shared" si="33"/>
        <v>0</v>
      </c>
      <c r="D221" s="7">
        <f t="shared" si="34"/>
        <v>0</v>
      </c>
      <c r="E221" s="7">
        <f>SUM(C$5:C221)</f>
        <v>0</v>
      </c>
      <c r="F221" s="7">
        <f>SUM(D$5:D221)</f>
        <v>0</v>
      </c>
      <c r="G221" s="7">
        <f>$D$1-'Amort Schedule - Flip'!F221</f>
        <v>0</v>
      </c>
      <c r="H221" s="11" t="e">
        <f t="shared" si="35"/>
        <v>#DIV/0!</v>
      </c>
      <c r="J221" s="127">
        <f t="shared" si="38"/>
        <v>0</v>
      </c>
      <c r="K221" s="127">
        <f t="shared" si="39"/>
        <v>0</v>
      </c>
      <c r="L221" s="7">
        <f t="shared" si="40"/>
        <v>0</v>
      </c>
      <c r="M221" s="7">
        <f t="shared" si="41"/>
        <v>0</v>
      </c>
      <c r="N221" s="7">
        <f t="shared" si="42"/>
        <v>0</v>
      </c>
      <c r="O221" s="7">
        <f t="shared" si="43"/>
        <v>0</v>
      </c>
    </row>
    <row r="222" spans="1:15" x14ac:dyDescent="0.2">
      <c r="A222">
        <f t="shared" si="36"/>
        <v>218</v>
      </c>
      <c r="B222" s="7">
        <f t="shared" si="37"/>
        <v>0</v>
      </c>
      <c r="C222" s="7">
        <f t="shared" si="33"/>
        <v>0</v>
      </c>
      <c r="D222" s="7">
        <f t="shared" si="34"/>
        <v>0</v>
      </c>
      <c r="E222" s="7">
        <f>SUM(C$5:C222)</f>
        <v>0</v>
      </c>
      <c r="F222" s="7">
        <f>SUM(D$5:D222)</f>
        <v>0</v>
      </c>
      <c r="G222" s="7">
        <f>$D$1-'Amort Schedule - Flip'!F222</f>
        <v>0</v>
      </c>
      <c r="H222" s="11" t="e">
        <f t="shared" si="35"/>
        <v>#DIV/0!</v>
      </c>
      <c r="J222" s="127">
        <f t="shared" si="38"/>
        <v>0</v>
      </c>
      <c r="K222" s="127">
        <f t="shared" si="39"/>
        <v>0</v>
      </c>
      <c r="L222" s="7">
        <f t="shared" si="40"/>
        <v>0</v>
      </c>
      <c r="M222" s="7">
        <f t="shared" si="41"/>
        <v>0</v>
      </c>
      <c r="N222" s="7">
        <f t="shared" si="42"/>
        <v>0</v>
      </c>
      <c r="O222" s="7">
        <f t="shared" si="43"/>
        <v>0</v>
      </c>
    </row>
    <row r="223" spans="1:15" x14ac:dyDescent="0.2">
      <c r="A223">
        <f t="shared" si="36"/>
        <v>219</v>
      </c>
      <c r="B223" s="7">
        <f t="shared" si="37"/>
        <v>0</v>
      </c>
      <c r="C223" s="7">
        <f t="shared" si="33"/>
        <v>0</v>
      </c>
      <c r="D223" s="7">
        <f t="shared" si="34"/>
        <v>0</v>
      </c>
      <c r="E223" s="7">
        <f>SUM(C$5:C223)</f>
        <v>0</v>
      </c>
      <c r="F223" s="7">
        <f>SUM(D$5:D223)</f>
        <v>0</v>
      </c>
      <c r="G223" s="7">
        <f>$D$1-'Amort Schedule - Flip'!F223</f>
        <v>0</v>
      </c>
      <c r="H223" s="11" t="e">
        <f t="shared" si="35"/>
        <v>#DIV/0!</v>
      </c>
      <c r="J223" s="127">
        <f t="shared" si="38"/>
        <v>0</v>
      </c>
      <c r="K223" s="127">
        <f t="shared" si="39"/>
        <v>0</v>
      </c>
      <c r="L223" s="7">
        <f t="shared" si="40"/>
        <v>0</v>
      </c>
      <c r="M223" s="7">
        <f t="shared" si="41"/>
        <v>0</v>
      </c>
      <c r="N223" s="7">
        <f t="shared" si="42"/>
        <v>0</v>
      </c>
      <c r="O223" s="7">
        <f t="shared" si="43"/>
        <v>0</v>
      </c>
    </row>
    <row r="224" spans="1:15" x14ac:dyDescent="0.2">
      <c r="A224">
        <f t="shared" si="36"/>
        <v>220</v>
      </c>
      <c r="B224" s="7">
        <f t="shared" si="37"/>
        <v>0</v>
      </c>
      <c r="C224" s="7">
        <f t="shared" si="33"/>
        <v>0</v>
      </c>
      <c r="D224" s="7">
        <f t="shared" si="34"/>
        <v>0</v>
      </c>
      <c r="E224" s="7">
        <f>SUM(C$5:C224)</f>
        <v>0</v>
      </c>
      <c r="F224" s="7">
        <f>SUM(D$5:D224)</f>
        <v>0</v>
      </c>
      <c r="G224" s="7">
        <f>$D$1-'Amort Schedule - Flip'!F224</f>
        <v>0</v>
      </c>
      <c r="H224" s="11" t="e">
        <f t="shared" si="35"/>
        <v>#DIV/0!</v>
      </c>
      <c r="J224" s="127">
        <f t="shared" si="38"/>
        <v>0</v>
      </c>
      <c r="K224" s="127">
        <f t="shared" si="39"/>
        <v>0</v>
      </c>
      <c r="L224" s="7">
        <f t="shared" si="40"/>
        <v>0</v>
      </c>
      <c r="M224" s="7">
        <f t="shared" si="41"/>
        <v>0</v>
      </c>
      <c r="N224" s="7">
        <f t="shared" si="42"/>
        <v>0</v>
      </c>
      <c r="O224" s="7">
        <f t="shared" si="43"/>
        <v>0</v>
      </c>
    </row>
    <row r="225" spans="1:15" x14ac:dyDescent="0.2">
      <c r="A225">
        <f t="shared" si="36"/>
        <v>221</v>
      </c>
      <c r="B225" s="7">
        <f t="shared" si="37"/>
        <v>0</v>
      </c>
      <c r="C225" s="7">
        <f t="shared" si="33"/>
        <v>0</v>
      </c>
      <c r="D225" s="7">
        <f t="shared" si="34"/>
        <v>0</v>
      </c>
      <c r="E225" s="7">
        <f>SUM(C$5:C225)</f>
        <v>0</v>
      </c>
      <c r="F225" s="7">
        <f>SUM(D$5:D225)</f>
        <v>0</v>
      </c>
      <c r="G225" s="7">
        <f>$D$1-'Amort Schedule - Flip'!F225</f>
        <v>0</v>
      </c>
      <c r="H225" s="11" t="e">
        <f t="shared" si="35"/>
        <v>#DIV/0!</v>
      </c>
      <c r="J225" s="127">
        <f t="shared" si="38"/>
        <v>0</v>
      </c>
      <c r="K225" s="127">
        <f t="shared" si="39"/>
        <v>0</v>
      </c>
      <c r="L225" s="7">
        <f t="shared" si="40"/>
        <v>0</v>
      </c>
      <c r="M225" s="7">
        <f t="shared" si="41"/>
        <v>0</v>
      </c>
      <c r="N225" s="7">
        <f t="shared" si="42"/>
        <v>0</v>
      </c>
      <c r="O225" s="7">
        <f t="shared" si="43"/>
        <v>0</v>
      </c>
    </row>
    <row r="226" spans="1:15" x14ac:dyDescent="0.2">
      <c r="A226">
        <f t="shared" si="36"/>
        <v>222</v>
      </c>
      <c r="B226" s="7">
        <f t="shared" si="37"/>
        <v>0</v>
      </c>
      <c r="C226" s="7">
        <f t="shared" si="33"/>
        <v>0</v>
      </c>
      <c r="D226" s="7">
        <f t="shared" si="34"/>
        <v>0</v>
      </c>
      <c r="E226" s="7">
        <f>SUM(C$5:C226)</f>
        <v>0</v>
      </c>
      <c r="F226" s="7">
        <f>SUM(D$5:D226)</f>
        <v>0</v>
      </c>
      <c r="G226" s="7">
        <f>$D$1-'Amort Schedule - Flip'!F226</f>
        <v>0</v>
      </c>
      <c r="H226" s="11" t="e">
        <f t="shared" si="35"/>
        <v>#DIV/0!</v>
      </c>
      <c r="J226" s="127">
        <f t="shared" si="38"/>
        <v>0</v>
      </c>
      <c r="K226" s="127">
        <f t="shared" si="39"/>
        <v>0</v>
      </c>
      <c r="L226" s="7">
        <f t="shared" si="40"/>
        <v>0</v>
      </c>
      <c r="M226" s="7">
        <f t="shared" si="41"/>
        <v>0</v>
      </c>
      <c r="N226" s="7">
        <f t="shared" si="42"/>
        <v>0</v>
      </c>
      <c r="O226" s="7">
        <f t="shared" si="43"/>
        <v>0</v>
      </c>
    </row>
    <row r="227" spans="1:15" x14ac:dyDescent="0.2">
      <c r="A227">
        <f t="shared" si="36"/>
        <v>223</v>
      </c>
      <c r="B227" s="7">
        <f t="shared" si="37"/>
        <v>0</v>
      </c>
      <c r="C227" s="7">
        <f t="shared" si="33"/>
        <v>0</v>
      </c>
      <c r="D227" s="7">
        <f t="shared" si="34"/>
        <v>0</v>
      </c>
      <c r="E227" s="7">
        <f>SUM(C$5:C227)</f>
        <v>0</v>
      </c>
      <c r="F227" s="7">
        <f>SUM(D$5:D227)</f>
        <v>0</v>
      </c>
      <c r="G227" s="7">
        <f>$D$1-'Amort Schedule - Flip'!F227</f>
        <v>0</v>
      </c>
      <c r="H227" s="11" t="e">
        <f t="shared" si="35"/>
        <v>#DIV/0!</v>
      </c>
      <c r="J227" s="127">
        <f t="shared" si="38"/>
        <v>0</v>
      </c>
      <c r="K227" s="127">
        <f t="shared" si="39"/>
        <v>0</v>
      </c>
      <c r="L227" s="7">
        <f t="shared" si="40"/>
        <v>0</v>
      </c>
      <c r="M227" s="7">
        <f t="shared" si="41"/>
        <v>0</v>
      </c>
      <c r="N227" s="7">
        <f t="shared" si="42"/>
        <v>0</v>
      </c>
      <c r="O227" s="7">
        <f t="shared" si="43"/>
        <v>0</v>
      </c>
    </row>
    <row r="228" spans="1:15" x14ac:dyDescent="0.2">
      <c r="A228">
        <f t="shared" si="36"/>
        <v>224</v>
      </c>
      <c r="B228" s="7">
        <f t="shared" si="37"/>
        <v>0</v>
      </c>
      <c r="C228" s="7">
        <f t="shared" si="33"/>
        <v>0</v>
      </c>
      <c r="D228" s="7">
        <f t="shared" si="34"/>
        <v>0</v>
      </c>
      <c r="E228" s="7">
        <f>SUM(C$5:C228)</f>
        <v>0</v>
      </c>
      <c r="F228" s="7">
        <f>SUM(D$5:D228)</f>
        <v>0</v>
      </c>
      <c r="G228" s="7">
        <f>$D$1-'Amort Schedule - Flip'!F228</f>
        <v>0</v>
      </c>
      <c r="H228" s="11" t="e">
        <f t="shared" si="35"/>
        <v>#DIV/0!</v>
      </c>
      <c r="J228" s="127">
        <f t="shared" si="38"/>
        <v>0</v>
      </c>
      <c r="K228" s="127">
        <f t="shared" si="39"/>
        <v>0</v>
      </c>
      <c r="L228" s="7">
        <f t="shared" si="40"/>
        <v>0</v>
      </c>
      <c r="M228" s="7">
        <f t="shared" si="41"/>
        <v>0</v>
      </c>
      <c r="N228" s="7">
        <f t="shared" si="42"/>
        <v>0</v>
      </c>
      <c r="O228" s="7">
        <f t="shared" si="43"/>
        <v>0</v>
      </c>
    </row>
    <row r="229" spans="1:15" x14ac:dyDescent="0.2">
      <c r="A229">
        <f t="shared" si="36"/>
        <v>225</v>
      </c>
      <c r="B229" s="7">
        <f t="shared" si="37"/>
        <v>0</v>
      </c>
      <c r="C229" s="7">
        <f t="shared" si="33"/>
        <v>0</v>
      </c>
      <c r="D229" s="7">
        <f t="shared" si="34"/>
        <v>0</v>
      </c>
      <c r="E229" s="7">
        <f>SUM(C$5:C229)</f>
        <v>0</v>
      </c>
      <c r="F229" s="7">
        <f>SUM(D$5:D229)</f>
        <v>0</v>
      </c>
      <c r="G229" s="7">
        <f>$D$1-'Amort Schedule - Flip'!F229</f>
        <v>0</v>
      </c>
      <c r="H229" s="11" t="e">
        <f t="shared" si="35"/>
        <v>#DIV/0!</v>
      </c>
      <c r="J229" s="127">
        <f t="shared" si="38"/>
        <v>0</v>
      </c>
      <c r="K229" s="127">
        <f t="shared" si="39"/>
        <v>0</v>
      </c>
      <c r="L229" s="7">
        <f t="shared" si="40"/>
        <v>0</v>
      </c>
      <c r="M229" s="7">
        <f t="shared" si="41"/>
        <v>0</v>
      </c>
      <c r="N229" s="7">
        <f t="shared" si="42"/>
        <v>0</v>
      </c>
      <c r="O229" s="7">
        <f t="shared" si="43"/>
        <v>0</v>
      </c>
    </row>
    <row r="230" spans="1:15" x14ac:dyDescent="0.2">
      <c r="A230">
        <f t="shared" si="36"/>
        <v>226</v>
      </c>
      <c r="B230" s="7">
        <f t="shared" si="37"/>
        <v>0</v>
      </c>
      <c r="C230" s="7">
        <f t="shared" si="33"/>
        <v>0</v>
      </c>
      <c r="D230" s="7">
        <f t="shared" si="34"/>
        <v>0</v>
      </c>
      <c r="E230" s="7">
        <f>SUM(C$5:C230)</f>
        <v>0</v>
      </c>
      <c r="F230" s="7">
        <f>SUM(D$5:D230)</f>
        <v>0</v>
      </c>
      <c r="G230" s="7">
        <f>$D$1-'Amort Schedule - Flip'!F230</f>
        <v>0</v>
      </c>
      <c r="H230" s="11" t="e">
        <f t="shared" si="35"/>
        <v>#DIV/0!</v>
      </c>
      <c r="J230" s="127">
        <f t="shared" si="38"/>
        <v>0</v>
      </c>
      <c r="K230" s="127">
        <f t="shared" si="39"/>
        <v>0</v>
      </c>
      <c r="L230" s="7">
        <f t="shared" si="40"/>
        <v>0</v>
      </c>
      <c r="M230" s="7">
        <f t="shared" si="41"/>
        <v>0</v>
      </c>
      <c r="N230" s="7">
        <f t="shared" si="42"/>
        <v>0</v>
      </c>
      <c r="O230" s="7">
        <f t="shared" si="43"/>
        <v>0</v>
      </c>
    </row>
    <row r="231" spans="1:15" x14ac:dyDescent="0.2">
      <c r="A231">
        <f t="shared" si="36"/>
        <v>227</v>
      </c>
      <c r="B231" s="7">
        <f t="shared" si="37"/>
        <v>0</v>
      </c>
      <c r="C231" s="7">
        <f t="shared" si="33"/>
        <v>0</v>
      </c>
      <c r="D231" s="7">
        <f t="shared" si="34"/>
        <v>0</v>
      </c>
      <c r="E231" s="7">
        <f>SUM(C$5:C231)</f>
        <v>0</v>
      </c>
      <c r="F231" s="7">
        <f>SUM(D$5:D231)</f>
        <v>0</v>
      </c>
      <c r="G231" s="7">
        <f>$D$1-'Amort Schedule - Flip'!F231</f>
        <v>0</v>
      </c>
      <c r="H231" s="11" t="e">
        <f t="shared" si="35"/>
        <v>#DIV/0!</v>
      </c>
      <c r="J231" s="127">
        <f t="shared" si="38"/>
        <v>0</v>
      </c>
      <c r="K231" s="127">
        <f t="shared" si="39"/>
        <v>0</v>
      </c>
      <c r="L231" s="7">
        <f t="shared" si="40"/>
        <v>0</v>
      </c>
      <c r="M231" s="7">
        <f t="shared" si="41"/>
        <v>0</v>
      </c>
      <c r="N231" s="7">
        <f t="shared" si="42"/>
        <v>0</v>
      </c>
      <c r="O231" s="7">
        <f t="shared" si="43"/>
        <v>0</v>
      </c>
    </row>
    <row r="232" spans="1:15" s="6" customFormat="1" x14ac:dyDescent="0.2">
      <c r="A232" s="6">
        <f t="shared" si="36"/>
        <v>228</v>
      </c>
      <c r="B232" s="128">
        <f t="shared" si="37"/>
        <v>0</v>
      </c>
      <c r="C232" s="128">
        <f t="shared" si="33"/>
        <v>0</v>
      </c>
      <c r="D232" s="128">
        <f t="shared" si="34"/>
        <v>0</v>
      </c>
      <c r="E232" s="128">
        <f>SUM(C$5:C232)</f>
        <v>0</v>
      </c>
      <c r="F232" s="128">
        <f>SUM(D$5:D232)</f>
        <v>0</v>
      </c>
      <c r="G232" s="128">
        <f>$D$1-'Amort Schedule - Flip'!F232</f>
        <v>0</v>
      </c>
      <c r="H232" s="124" t="e">
        <f t="shared" si="35"/>
        <v>#DIV/0!</v>
      </c>
      <c r="J232" s="127">
        <f t="shared" si="38"/>
        <v>0</v>
      </c>
      <c r="K232" s="127">
        <f t="shared" si="39"/>
        <v>0</v>
      </c>
      <c r="L232" s="7">
        <f t="shared" si="40"/>
        <v>0</v>
      </c>
      <c r="M232" s="7">
        <f t="shared" si="41"/>
        <v>0</v>
      </c>
      <c r="N232" s="7">
        <f t="shared" si="42"/>
        <v>0</v>
      </c>
      <c r="O232" s="7">
        <f t="shared" si="43"/>
        <v>0</v>
      </c>
    </row>
    <row r="233" spans="1:15" x14ac:dyDescent="0.2">
      <c r="A233">
        <f t="shared" si="36"/>
        <v>229</v>
      </c>
      <c r="B233" s="7">
        <f t="shared" si="37"/>
        <v>0</v>
      </c>
      <c r="C233" s="7">
        <f t="shared" si="33"/>
        <v>0</v>
      </c>
      <c r="D233" s="7">
        <f t="shared" si="34"/>
        <v>0</v>
      </c>
      <c r="E233" s="7">
        <f>SUM(C$5:C233)</f>
        <v>0</v>
      </c>
      <c r="F233" s="7">
        <f>SUM(D$5:D233)</f>
        <v>0</v>
      </c>
      <c r="G233" s="7">
        <f>$D$1-'Amort Schedule - Flip'!F233</f>
        <v>0</v>
      </c>
      <c r="H233" s="11" t="e">
        <f t="shared" si="35"/>
        <v>#DIV/0!</v>
      </c>
      <c r="J233" s="127">
        <f t="shared" si="38"/>
        <v>0</v>
      </c>
      <c r="K233" s="127">
        <f t="shared" si="39"/>
        <v>0</v>
      </c>
      <c r="L233" s="7">
        <f t="shared" si="40"/>
        <v>0</v>
      </c>
      <c r="M233" s="7">
        <f t="shared" si="41"/>
        <v>0</v>
      </c>
      <c r="N233" s="7">
        <f t="shared" si="42"/>
        <v>0</v>
      </c>
      <c r="O233" s="7">
        <f t="shared" si="43"/>
        <v>0</v>
      </c>
    </row>
    <row r="234" spans="1:15" x14ac:dyDescent="0.2">
      <c r="A234">
        <f t="shared" si="36"/>
        <v>230</v>
      </c>
      <c r="B234" s="7">
        <f t="shared" si="37"/>
        <v>0</v>
      </c>
      <c r="C234" s="7">
        <f t="shared" si="33"/>
        <v>0</v>
      </c>
      <c r="D234" s="7">
        <f t="shared" si="34"/>
        <v>0</v>
      </c>
      <c r="E234" s="7">
        <f>SUM(C$5:C234)</f>
        <v>0</v>
      </c>
      <c r="F234" s="7">
        <f>SUM(D$5:D234)</f>
        <v>0</v>
      </c>
      <c r="G234" s="7">
        <f>$D$1-'Amort Schedule - Flip'!F234</f>
        <v>0</v>
      </c>
      <c r="H234" s="11" t="e">
        <f t="shared" si="35"/>
        <v>#DIV/0!</v>
      </c>
      <c r="J234" s="127">
        <f t="shared" si="38"/>
        <v>0</v>
      </c>
      <c r="K234" s="127">
        <f t="shared" si="39"/>
        <v>0</v>
      </c>
      <c r="L234" s="7">
        <f t="shared" si="40"/>
        <v>0</v>
      </c>
      <c r="M234" s="7">
        <f t="shared" si="41"/>
        <v>0</v>
      </c>
      <c r="N234" s="7">
        <f t="shared" si="42"/>
        <v>0</v>
      </c>
      <c r="O234" s="7">
        <f t="shared" si="43"/>
        <v>0</v>
      </c>
    </row>
    <row r="235" spans="1:15" x14ac:dyDescent="0.2">
      <c r="A235">
        <f t="shared" si="36"/>
        <v>231</v>
      </c>
      <c r="B235" s="7">
        <f t="shared" si="37"/>
        <v>0</v>
      </c>
      <c r="C235" s="7">
        <f t="shared" si="33"/>
        <v>0</v>
      </c>
      <c r="D235" s="7">
        <f t="shared" si="34"/>
        <v>0</v>
      </c>
      <c r="E235" s="7">
        <f>SUM(C$5:C235)</f>
        <v>0</v>
      </c>
      <c r="F235" s="7">
        <f>SUM(D$5:D235)</f>
        <v>0</v>
      </c>
      <c r="G235" s="7">
        <f>$D$1-'Amort Schedule - Flip'!F235</f>
        <v>0</v>
      </c>
      <c r="H235" s="11" t="e">
        <f t="shared" si="35"/>
        <v>#DIV/0!</v>
      </c>
      <c r="J235" s="127">
        <f t="shared" si="38"/>
        <v>0</v>
      </c>
      <c r="K235" s="127">
        <f t="shared" si="39"/>
        <v>0</v>
      </c>
      <c r="L235" s="7">
        <f t="shared" si="40"/>
        <v>0</v>
      </c>
      <c r="M235" s="7">
        <f t="shared" si="41"/>
        <v>0</v>
      </c>
      <c r="N235" s="7">
        <f t="shared" si="42"/>
        <v>0</v>
      </c>
      <c r="O235" s="7">
        <f t="shared" si="43"/>
        <v>0</v>
      </c>
    </row>
    <row r="236" spans="1:15" x14ac:dyDescent="0.2">
      <c r="A236">
        <f t="shared" si="36"/>
        <v>232</v>
      </c>
      <c r="B236" s="7">
        <f t="shared" si="37"/>
        <v>0</v>
      </c>
      <c r="C236" s="7">
        <f t="shared" si="33"/>
        <v>0</v>
      </c>
      <c r="D236" s="7">
        <f t="shared" si="34"/>
        <v>0</v>
      </c>
      <c r="E236" s="7">
        <f>SUM(C$5:C236)</f>
        <v>0</v>
      </c>
      <c r="F236" s="7">
        <f>SUM(D$5:D236)</f>
        <v>0</v>
      </c>
      <c r="G236" s="7">
        <f>$D$1-'Amort Schedule - Flip'!F236</f>
        <v>0</v>
      </c>
      <c r="H236" s="11" t="e">
        <f t="shared" si="35"/>
        <v>#DIV/0!</v>
      </c>
      <c r="J236" s="127">
        <f t="shared" si="38"/>
        <v>0</v>
      </c>
      <c r="K236" s="127">
        <f t="shared" si="39"/>
        <v>0</v>
      </c>
      <c r="L236" s="7">
        <f t="shared" si="40"/>
        <v>0</v>
      </c>
      <c r="M236" s="7">
        <f t="shared" si="41"/>
        <v>0</v>
      </c>
      <c r="N236" s="7">
        <f t="shared" si="42"/>
        <v>0</v>
      </c>
      <c r="O236" s="7">
        <f t="shared" si="43"/>
        <v>0</v>
      </c>
    </row>
    <row r="237" spans="1:15" x14ac:dyDescent="0.2">
      <c r="A237">
        <f t="shared" si="36"/>
        <v>233</v>
      </c>
      <c r="B237" s="7">
        <f t="shared" si="37"/>
        <v>0</v>
      </c>
      <c r="C237" s="7">
        <f t="shared" si="33"/>
        <v>0</v>
      </c>
      <c r="D237" s="7">
        <f t="shared" si="34"/>
        <v>0</v>
      </c>
      <c r="E237" s="7">
        <f>SUM(C$5:C237)</f>
        <v>0</v>
      </c>
      <c r="F237" s="7">
        <f>SUM(D$5:D237)</f>
        <v>0</v>
      </c>
      <c r="G237" s="7">
        <f>$D$1-'Amort Schedule - Flip'!F237</f>
        <v>0</v>
      </c>
      <c r="H237" s="11" t="e">
        <f t="shared" si="35"/>
        <v>#DIV/0!</v>
      </c>
      <c r="J237" s="127">
        <f t="shared" si="38"/>
        <v>0</v>
      </c>
      <c r="K237" s="127">
        <f t="shared" si="39"/>
        <v>0</v>
      </c>
      <c r="L237" s="7">
        <f t="shared" si="40"/>
        <v>0</v>
      </c>
      <c r="M237" s="7">
        <f t="shared" si="41"/>
        <v>0</v>
      </c>
      <c r="N237" s="7">
        <f t="shared" si="42"/>
        <v>0</v>
      </c>
      <c r="O237" s="7">
        <f t="shared" si="43"/>
        <v>0</v>
      </c>
    </row>
    <row r="238" spans="1:15" x14ac:dyDescent="0.2">
      <c r="A238">
        <f t="shared" si="36"/>
        <v>234</v>
      </c>
      <c r="B238" s="7">
        <f t="shared" si="37"/>
        <v>0</v>
      </c>
      <c r="C238" s="7">
        <f t="shared" si="33"/>
        <v>0</v>
      </c>
      <c r="D238" s="7">
        <f t="shared" si="34"/>
        <v>0</v>
      </c>
      <c r="E238" s="7">
        <f>SUM(C$5:C238)</f>
        <v>0</v>
      </c>
      <c r="F238" s="7">
        <f>SUM(D$5:D238)</f>
        <v>0</v>
      </c>
      <c r="G238" s="7">
        <f>$D$1-'Amort Schedule - Flip'!F238</f>
        <v>0</v>
      </c>
      <c r="H238" s="11" t="e">
        <f t="shared" si="35"/>
        <v>#DIV/0!</v>
      </c>
      <c r="J238" s="127">
        <f t="shared" si="38"/>
        <v>0</v>
      </c>
      <c r="K238" s="127">
        <f t="shared" si="39"/>
        <v>0</v>
      </c>
      <c r="L238" s="7">
        <f t="shared" si="40"/>
        <v>0</v>
      </c>
      <c r="M238" s="7">
        <f t="shared" si="41"/>
        <v>0</v>
      </c>
      <c r="N238" s="7">
        <f t="shared" si="42"/>
        <v>0</v>
      </c>
      <c r="O238" s="7">
        <f t="shared" si="43"/>
        <v>0</v>
      </c>
    </row>
    <row r="239" spans="1:15" x14ac:dyDescent="0.2">
      <c r="A239">
        <f t="shared" si="36"/>
        <v>235</v>
      </c>
      <c r="B239" s="7">
        <f t="shared" si="37"/>
        <v>0</v>
      </c>
      <c r="C239" s="7">
        <f t="shared" si="33"/>
        <v>0</v>
      </c>
      <c r="D239" s="7">
        <f t="shared" si="34"/>
        <v>0</v>
      </c>
      <c r="E239" s="7">
        <f>SUM(C$5:C239)</f>
        <v>0</v>
      </c>
      <c r="F239" s="7">
        <f>SUM(D$5:D239)</f>
        <v>0</v>
      </c>
      <c r="G239" s="7">
        <f>$D$1-'Amort Schedule - Flip'!F239</f>
        <v>0</v>
      </c>
      <c r="H239" s="11" t="e">
        <f t="shared" si="35"/>
        <v>#DIV/0!</v>
      </c>
      <c r="J239" s="127">
        <f t="shared" si="38"/>
        <v>0</v>
      </c>
      <c r="K239" s="127">
        <f t="shared" si="39"/>
        <v>0</v>
      </c>
      <c r="L239" s="7">
        <f t="shared" si="40"/>
        <v>0</v>
      </c>
      <c r="M239" s="7">
        <f t="shared" si="41"/>
        <v>0</v>
      </c>
      <c r="N239" s="7">
        <f t="shared" si="42"/>
        <v>0</v>
      </c>
      <c r="O239" s="7">
        <f t="shared" si="43"/>
        <v>0</v>
      </c>
    </row>
    <row r="240" spans="1:15" x14ac:dyDescent="0.2">
      <c r="A240">
        <f t="shared" si="36"/>
        <v>236</v>
      </c>
      <c r="B240" s="7">
        <f t="shared" si="37"/>
        <v>0</v>
      </c>
      <c r="C240" s="7">
        <f t="shared" si="33"/>
        <v>0</v>
      </c>
      <c r="D240" s="7">
        <f t="shared" si="34"/>
        <v>0</v>
      </c>
      <c r="E240" s="7">
        <f>SUM(C$5:C240)</f>
        <v>0</v>
      </c>
      <c r="F240" s="7">
        <f>SUM(D$5:D240)</f>
        <v>0</v>
      </c>
      <c r="G240" s="7">
        <f>$D$1-'Amort Schedule - Flip'!F240</f>
        <v>0</v>
      </c>
      <c r="H240" s="11" t="e">
        <f t="shared" si="35"/>
        <v>#DIV/0!</v>
      </c>
      <c r="J240" s="127">
        <f t="shared" si="38"/>
        <v>0</v>
      </c>
      <c r="K240" s="127">
        <f t="shared" si="39"/>
        <v>0</v>
      </c>
      <c r="L240" s="7">
        <f t="shared" si="40"/>
        <v>0</v>
      </c>
      <c r="M240" s="7">
        <f t="shared" si="41"/>
        <v>0</v>
      </c>
      <c r="N240" s="7">
        <f t="shared" si="42"/>
        <v>0</v>
      </c>
      <c r="O240" s="7">
        <f t="shared" si="43"/>
        <v>0</v>
      </c>
    </row>
    <row r="241" spans="1:15" x14ac:dyDescent="0.2">
      <c r="A241">
        <f t="shared" si="36"/>
        <v>237</v>
      </c>
      <c r="B241" s="7">
        <f t="shared" si="37"/>
        <v>0</v>
      </c>
      <c r="C241" s="7">
        <f t="shared" si="33"/>
        <v>0</v>
      </c>
      <c r="D241" s="7">
        <f t="shared" si="34"/>
        <v>0</v>
      </c>
      <c r="E241" s="7">
        <f>SUM(C$5:C241)</f>
        <v>0</v>
      </c>
      <c r="F241" s="7">
        <f>SUM(D$5:D241)</f>
        <v>0</v>
      </c>
      <c r="G241" s="7">
        <f>$D$1-'Amort Schedule - Flip'!F241</f>
        <v>0</v>
      </c>
      <c r="H241" s="11" t="e">
        <f t="shared" si="35"/>
        <v>#DIV/0!</v>
      </c>
      <c r="J241" s="127">
        <f t="shared" si="38"/>
        <v>0</v>
      </c>
      <c r="K241" s="127">
        <f t="shared" si="39"/>
        <v>0</v>
      </c>
      <c r="L241" s="7">
        <f t="shared" si="40"/>
        <v>0</v>
      </c>
      <c r="M241" s="7">
        <f t="shared" si="41"/>
        <v>0</v>
      </c>
      <c r="N241" s="7">
        <f t="shared" si="42"/>
        <v>0</v>
      </c>
      <c r="O241" s="7">
        <f t="shared" si="43"/>
        <v>0</v>
      </c>
    </row>
    <row r="242" spans="1:15" x14ac:dyDescent="0.2">
      <c r="A242">
        <f t="shared" si="36"/>
        <v>238</v>
      </c>
      <c r="B242" s="7">
        <f t="shared" si="37"/>
        <v>0</v>
      </c>
      <c r="C242" s="7">
        <f t="shared" si="33"/>
        <v>0</v>
      </c>
      <c r="D242" s="7">
        <f t="shared" si="34"/>
        <v>0</v>
      </c>
      <c r="E242" s="7">
        <f>SUM(C$5:C242)</f>
        <v>0</v>
      </c>
      <c r="F242" s="7">
        <f>SUM(D$5:D242)</f>
        <v>0</v>
      </c>
      <c r="G242" s="7">
        <f>$D$1-'Amort Schedule - Flip'!F242</f>
        <v>0</v>
      </c>
      <c r="H242" s="11" t="e">
        <f t="shared" si="35"/>
        <v>#DIV/0!</v>
      </c>
      <c r="J242" s="127">
        <f t="shared" si="38"/>
        <v>0</v>
      </c>
      <c r="K242" s="127">
        <f t="shared" si="39"/>
        <v>0</v>
      </c>
      <c r="L242" s="7">
        <f t="shared" si="40"/>
        <v>0</v>
      </c>
      <c r="M242" s="7">
        <f t="shared" si="41"/>
        <v>0</v>
      </c>
      <c r="N242" s="7">
        <f t="shared" si="42"/>
        <v>0</v>
      </c>
      <c r="O242" s="7">
        <f t="shared" si="43"/>
        <v>0</v>
      </c>
    </row>
    <row r="243" spans="1:15" x14ac:dyDescent="0.2">
      <c r="A243">
        <f t="shared" si="36"/>
        <v>239</v>
      </c>
      <c r="B243" s="7">
        <f t="shared" si="37"/>
        <v>0</v>
      </c>
      <c r="C243" s="7">
        <f t="shared" si="33"/>
        <v>0</v>
      </c>
      <c r="D243" s="7">
        <f t="shared" si="34"/>
        <v>0</v>
      </c>
      <c r="E243" s="7">
        <f>SUM(C$5:C243)</f>
        <v>0</v>
      </c>
      <c r="F243" s="7">
        <f>SUM(D$5:D243)</f>
        <v>0</v>
      </c>
      <c r="G243" s="7">
        <f>$D$1-'Amort Schedule - Flip'!F243</f>
        <v>0</v>
      </c>
      <c r="H243" s="11" t="e">
        <f t="shared" si="35"/>
        <v>#DIV/0!</v>
      </c>
      <c r="J243" s="127">
        <f t="shared" si="38"/>
        <v>0</v>
      </c>
      <c r="K243" s="127">
        <f t="shared" si="39"/>
        <v>0</v>
      </c>
      <c r="L243" s="7">
        <f t="shared" si="40"/>
        <v>0</v>
      </c>
      <c r="M243" s="7">
        <f t="shared" si="41"/>
        <v>0</v>
      </c>
      <c r="N243" s="7">
        <f t="shared" si="42"/>
        <v>0</v>
      </c>
      <c r="O243" s="7">
        <f t="shared" si="43"/>
        <v>0</v>
      </c>
    </row>
    <row r="244" spans="1:15" s="6" customFormat="1" x14ac:dyDescent="0.2">
      <c r="A244" s="6">
        <f t="shared" si="36"/>
        <v>240</v>
      </c>
      <c r="B244" s="128">
        <f t="shared" si="37"/>
        <v>0</v>
      </c>
      <c r="C244" s="128">
        <f t="shared" si="33"/>
        <v>0</v>
      </c>
      <c r="D244" s="128">
        <f t="shared" si="34"/>
        <v>0</v>
      </c>
      <c r="E244" s="128">
        <f>SUM(C$5:C244)</f>
        <v>0</v>
      </c>
      <c r="F244" s="128">
        <f>SUM(D$5:D244)</f>
        <v>0</v>
      </c>
      <c r="G244" s="128">
        <f>$D$1-'Amort Schedule - Flip'!F244</f>
        <v>0</v>
      </c>
      <c r="H244" s="124" t="e">
        <f t="shared" si="35"/>
        <v>#DIV/0!</v>
      </c>
      <c r="J244" s="127">
        <f t="shared" si="38"/>
        <v>0</v>
      </c>
      <c r="K244" s="127">
        <f t="shared" si="39"/>
        <v>0</v>
      </c>
      <c r="L244" s="7">
        <f t="shared" si="40"/>
        <v>0</v>
      </c>
      <c r="M244" s="7">
        <f t="shared" si="41"/>
        <v>0</v>
      </c>
      <c r="N244" s="7">
        <f t="shared" si="42"/>
        <v>0</v>
      </c>
      <c r="O244" s="7">
        <f t="shared" si="43"/>
        <v>0</v>
      </c>
    </row>
    <row r="245" spans="1:15" x14ac:dyDescent="0.2">
      <c r="A245">
        <f t="shared" si="36"/>
        <v>241</v>
      </c>
      <c r="B245" s="7">
        <f t="shared" si="37"/>
        <v>0</v>
      </c>
      <c r="C245" s="7">
        <f t="shared" si="33"/>
        <v>0</v>
      </c>
      <c r="D245" s="7">
        <f t="shared" si="34"/>
        <v>0</v>
      </c>
      <c r="E245" s="7">
        <f>SUM(C$5:C245)</f>
        <v>0</v>
      </c>
      <c r="F245" s="7">
        <f>SUM(D$5:D245)</f>
        <v>0</v>
      </c>
      <c r="G245" s="7">
        <f>$D$1-'Amort Schedule - Flip'!F245</f>
        <v>0</v>
      </c>
      <c r="H245" s="11" t="e">
        <f t="shared" si="35"/>
        <v>#DIV/0!</v>
      </c>
      <c r="J245" s="127">
        <f t="shared" si="38"/>
        <v>0</v>
      </c>
      <c r="K245" s="127">
        <f t="shared" si="39"/>
        <v>0</v>
      </c>
      <c r="L245" s="7">
        <f t="shared" si="40"/>
        <v>0</v>
      </c>
      <c r="M245" s="7">
        <f t="shared" si="41"/>
        <v>0</v>
      </c>
      <c r="N245" s="7">
        <f t="shared" si="42"/>
        <v>0</v>
      </c>
      <c r="O245" s="7">
        <f t="shared" si="43"/>
        <v>0</v>
      </c>
    </row>
    <row r="246" spans="1:15" x14ac:dyDescent="0.2">
      <c r="A246">
        <f t="shared" si="36"/>
        <v>242</v>
      </c>
      <c r="B246" s="7">
        <f t="shared" si="37"/>
        <v>0</v>
      </c>
      <c r="C246" s="7">
        <f t="shared" si="33"/>
        <v>0</v>
      </c>
      <c r="D246" s="7">
        <f t="shared" si="34"/>
        <v>0</v>
      </c>
      <c r="E246" s="7">
        <f>SUM(C$5:C246)</f>
        <v>0</v>
      </c>
      <c r="F246" s="7">
        <f>SUM(D$5:D246)</f>
        <v>0</v>
      </c>
      <c r="G246" s="7">
        <f>$D$1-'Amort Schedule - Flip'!F246</f>
        <v>0</v>
      </c>
      <c r="H246" s="11" t="e">
        <f t="shared" si="35"/>
        <v>#DIV/0!</v>
      </c>
      <c r="J246" s="127">
        <f t="shared" si="38"/>
        <v>0</v>
      </c>
      <c r="K246" s="127">
        <f t="shared" si="39"/>
        <v>0</v>
      </c>
      <c r="L246" s="7">
        <f t="shared" si="40"/>
        <v>0</v>
      </c>
      <c r="M246" s="7">
        <f t="shared" si="41"/>
        <v>0</v>
      </c>
      <c r="N246" s="7">
        <f t="shared" si="42"/>
        <v>0</v>
      </c>
      <c r="O246" s="7">
        <f t="shared" si="43"/>
        <v>0</v>
      </c>
    </row>
    <row r="247" spans="1:15" x14ac:dyDescent="0.2">
      <c r="A247">
        <f t="shared" si="36"/>
        <v>243</v>
      </c>
      <c r="B247" s="7">
        <f t="shared" si="37"/>
        <v>0</v>
      </c>
      <c r="C247" s="7">
        <f t="shared" si="33"/>
        <v>0</v>
      </c>
      <c r="D247" s="7">
        <f t="shared" si="34"/>
        <v>0</v>
      </c>
      <c r="E247" s="7">
        <f>SUM(C$5:C247)</f>
        <v>0</v>
      </c>
      <c r="F247" s="7">
        <f>SUM(D$5:D247)</f>
        <v>0</v>
      </c>
      <c r="G247" s="7">
        <f>$D$1-'Amort Schedule - Flip'!F247</f>
        <v>0</v>
      </c>
      <c r="H247" s="11" t="e">
        <f t="shared" si="35"/>
        <v>#DIV/0!</v>
      </c>
      <c r="J247" s="127">
        <f t="shared" si="38"/>
        <v>0</v>
      </c>
      <c r="K247" s="127">
        <f t="shared" si="39"/>
        <v>0</v>
      </c>
      <c r="L247" s="7">
        <f t="shared" si="40"/>
        <v>0</v>
      </c>
      <c r="M247" s="7">
        <f t="shared" si="41"/>
        <v>0</v>
      </c>
      <c r="N247" s="7">
        <f t="shared" si="42"/>
        <v>0</v>
      </c>
      <c r="O247" s="7">
        <f t="shared" si="43"/>
        <v>0</v>
      </c>
    </row>
    <row r="248" spans="1:15" x14ac:dyDescent="0.2">
      <c r="A248">
        <f t="shared" si="36"/>
        <v>244</v>
      </c>
      <c r="B248" s="7">
        <f t="shared" si="37"/>
        <v>0</v>
      </c>
      <c r="C248" s="7">
        <f t="shared" si="33"/>
        <v>0</v>
      </c>
      <c r="D248" s="7">
        <f t="shared" si="34"/>
        <v>0</v>
      </c>
      <c r="E248" s="7">
        <f>SUM(C$5:C248)</f>
        <v>0</v>
      </c>
      <c r="F248" s="7">
        <f>SUM(D$5:D248)</f>
        <v>0</v>
      </c>
      <c r="G248" s="7">
        <f>$D$1-'Amort Schedule - Flip'!F248</f>
        <v>0</v>
      </c>
      <c r="H248" s="11" t="e">
        <f t="shared" si="35"/>
        <v>#DIV/0!</v>
      </c>
      <c r="J248" s="127">
        <f t="shared" si="38"/>
        <v>0</v>
      </c>
      <c r="K248" s="127">
        <f t="shared" si="39"/>
        <v>0</v>
      </c>
      <c r="L248" s="7">
        <f t="shared" si="40"/>
        <v>0</v>
      </c>
      <c r="M248" s="7">
        <f t="shared" si="41"/>
        <v>0</v>
      </c>
      <c r="N248" s="7">
        <f t="shared" si="42"/>
        <v>0</v>
      </c>
      <c r="O248" s="7">
        <f t="shared" si="43"/>
        <v>0</v>
      </c>
    </row>
    <row r="249" spans="1:15" x14ac:dyDescent="0.2">
      <c r="A249">
        <f t="shared" si="36"/>
        <v>245</v>
      </c>
      <c r="B249" s="7">
        <f t="shared" si="37"/>
        <v>0</v>
      </c>
      <c r="C249" s="7">
        <f t="shared" si="33"/>
        <v>0</v>
      </c>
      <c r="D249" s="7">
        <f t="shared" si="34"/>
        <v>0</v>
      </c>
      <c r="E249" s="7">
        <f>SUM(C$5:C249)</f>
        <v>0</v>
      </c>
      <c r="F249" s="7">
        <f>SUM(D$5:D249)</f>
        <v>0</v>
      </c>
      <c r="G249" s="7">
        <f>$D$1-'Amort Schedule - Flip'!F249</f>
        <v>0</v>
      </c>
      <c r="H249" s="11" t="e">
        <f t="shared" si="35"/>
        <v>#DIV/0!</v>
      </c>
      <c r="J249" s="127">
        <f t="shared" si="38"/>
        <v>0</v>
      </c>
      <c r="K249" s="127">
        <f t="shared" si="39"/>
        <v>0</v>
      </c>
      <c r="L249" s="7">
        <f t="shared" si="40"/>
        <v>0</v>
      </c>
      <c r="M249" s="7">
        <f t="shared" si="41"/>
        <v>0</v>
      </c>
      <c r="N249" s="7">
        <f t="shared" si="42"/>
        <v>0</v>
      </c>
      <c r="O249" s="7">
        <f t="shared" si="43"/>
        <v>0</v>
      </c>
    </row>
    <row r="250" spans="1:15" x14ac:dyDescent="0.2">
      <c r="A250">
        <f t="shared" si="36"/>
        <v>246</v>
      </c>
      <c r="B250" s="7">
        <f t="shared" si="37"/>
        <v>0</v>
      </c>
      <c r="C250" s="7">
        <f t="shared" si="33"/>
        <v>0</v>
      </c>
      <c r="D250" s="7">
        <f t="shared" si="34"/>
        <v>0</v>
      </c>
      <c r="E250" s="7">
        <f>SUM(C$5:C250)</f>
        <v>0</v>
      </c>
      <c r="F250" s="7">
        <f>SUM(D$5:D250)</f>
        <v>0</v>
      </c>
      <c r="G250" s="7">
        <f>$D$1-'Amort Schedule - Flip'!F250</f>
        <v>0</v>
      </c>
      <c r="H250" s="11" t="e">
        <f t="shared" si="35"/>
        <v>#DIV/0!</v>
      </c>
      <c r="J250" s="127">
        <f t="shared" si="38"/>
        <v>0</v>
      </c>
      <c r="K250" s="127">
        <f t="shared" si="39"/>
        <v>0</v>
      </c>
      <c r="L250" s="7">
        <f t="shared" si="40"/>
        <v>0</v>
      </c>
      <c r="M250" s="7">
        <f t="shared" si="41"/>
        <v>0</v>
      </c>
      <c r="N250" s="7">
        <f t="shared" si="42"/>
        <v>0</v>
      </c>
      <c r="O250" s="7">
        <f t="shared" si="43"/>
        <v>0</v>
      </c>
    </row>
    <row r="251" spans="1:15" x14ac:dyDescent="0.2">
      <c r="A251">
        <f t="shared" si="36"/>
        <v>247</v>
      </c>
      <c r="B251" s="7">
        <f t="shared" si="37"/>
        <v>0</v>
      </c>
      <c r="C251" s="7">
        <f t="shared" si="33"/>
        <v>0</v>
      </c>
      <c r="D251" s="7">
        <f t="shared" si="34"/>
        <v>0</v>
      </c>
      <c r="E251" s="7">
        <f>SUM(C$5:C251)</f>
        <v>0</v>
      </c>
      <c r="F251" s="7">
        <f>SUM(D$5:D251)</f>
        <v>0</v>
      </c>
      <c r="G251" s="7">
        <f>$D$1-'Amort Schedule - Flip'!F251</f>
        <v>0</v>
      </c>
      <c r="H251" s="11" t="e">
        <f t="shared" si="35"/>
        <v>#DIV/0!</v>
      </c>
      <c r="J251" s="127">
        <f t="shared" si="38"/>
        <v>0</v>
      </c>
      <c r="K251" s="127">
        <f t="shared" si="39"/>
        <v>0</v>
      </c>
      <c r="L251" s="7">
        <f t="shared" si="40"/>
        <v>0</v>
      </c>
      <c r="M251" s="7">
        <f t="shared" si="41"/>
        <v>0</v>
      </c>
      <c r="N251" s="7">
        <f t="shared" si="42"/>
        <v>0</v>
      </c>
      <c r="O251" s="7">
        <f t="shared" si="43"/>
        <v>0</v>
      </c>
    </row>
    <row r="252" spans="1:15" x14ac:dyDescent="0.2">
      <c r="A252">
        <f t="shared" si="36"/>
        <v>248</v>
      </c>
      <c r="B252" s="7">
        <f t="shared" si="37"/>
        <v>0</v>
      </c>
      <c r="C252" s="7">
        <f t="shared" si="33"/>
        <v>0</v>
      </c>
      <c r="D252" s="7">
        <f t="shared" si="34"/>
        <v>0</v>
      </c>
      <c r="E252" s="7">
        <f>SUM(C$5:C252)</f>
        <v>0</v>
      </c>
      <c r="F252" s="7">
        <f>SUM(D$5:D252)</f>
        <v>0</v>
      </c>
      <c r="G252" s="7">
        <f>$D$1-'Amort Schedule - Flip'!F252</f>
        <v>0</v>
      </c>
      <c r="H252" s="11" t="e">
        <f t="shared" si="35"/>
        <v>#DIV/0!</v>
      </c>
      <c r="J252" s="127">
        <f t="shared" si="38"/>
        <v>0</v>
      </c>
      <c r="K252" s="127">
        <f t="shared" si="39"/>
        <v>0</v>
      </c>
      <c r="L252" s="7">
        <f t="shared" si="40"/>
        <v>0</v>
      </c>
      <c r="M252" s="7">
        <f t="shared" si="41"/>
        <v>0</v>
      </c>
      <c r="N252" s="7">
        <f t="shared" si="42"/>
        <v>0</v>
      </c>
      <c r="O252" s="7">
        <f t="shared" si="43"/>
        <v>0</v>
      </c>
    </row>
    <row r="253" spans="1:15" x14ac:dyDescent="0.2">
      <c r="A253">
        <f t="shared" si="36"/>
        <v>249</v>
      </c>
      <c r="B253" s="7">
        <f t="shared" si="37"/>
        <v>0</v>
      </c>
      <c r="C253" s="7">
        <f t="shared" si="33"/>
        <v>0</v>
      </c>
      <c r="D253" s="7">
        <f t="shared" si="34"/>
        <v>0</v>
      </c>
      <c r="E253" s="7">
        <f>SUM(C$5:C253)</f>
        <v>0</v>
      </c>
      <c r="F253" s="7">
        <f>SUM(D$5:D253)</f>
        <v>0</v>
      </c>
      <c r="G253" s="7">
        <f>$D$1-'Amort Schedule - Flip'!F253</f>
        <v>0</v>
      </c>
      <c r="H253" s="11" t="e">
        <f t="shared" si="35"/>
        <v>#DIV/0!</v>
      </c>
      <c r="J253" s="127">
        <f t="shared" si="38"/>
        <v>0</v>
      </c>
      <c r="K253" s="127">
        <f t="shared" si="39"/>
        <v>0</v>
      </c>
      <c r="L253" s="7">
        <f t="shared" si="40"/>
        <v>0</v>
      </c>
      <c r="M253" s="7">
        <f t="shared" si="41"/>
        <v>0</v>
      </c>
      <c r="N253" s="7">
        <f t="shared" si="42"/>
        <v>0</v>
      </c>
      <c r="O253" s="7">
        <f t="shared" si="43"/>
        <v>0</v>
      </c>
    </row>
    <row r="254" spans="1:15" x14ac:dyDescent="0.2">
      <c r="A254">
        <f t="shared" si="36"/>
        <v>250</v>
      </c>
      <c r="B254" s="7">
        <f t="shared" si="37"/>
        <v>0</v>
      </c>
      <c r="C254" s="7">
        <f t="shared" si="33"/>
        <v>0</v>
      </c>
      <c r="D254" s="7">
        <f t="shared" si="34"/>
        <v>0</v>
      </c>
      <c r="E254" s="7">
        <f>SUM(C$5:C254)</f>
        <v>0</v>
      </c>
      <c r="F254" s="7">
        <f>SUM(D$5:D254)</f>
        <v>0</v>
      </c>
      <c r="G254" s="7">
        <f>$D$1-'Amort Schedule - Flip'!F254</f>
        <v>0</v>
      </c>
      <c r="H254" s="11" t="e">
        <f t="shared" si="35"/>
        <v>#DIV/0!</v>
      </c>
      <c r="J254" s="127">
        <f t="shared" si="38"/>
        <v>0</v>
      </c>
      <c r="K254" s="127">
        <f t="shared" si="39"/>
        <v>0</v>
      </c>
      <c r="L254" s="7">
        <f t="shared" si="40"/>
        <v>0</v>
      </c>
      <c r="M254" s="7">
        <f t="shared" si="41"/>
        <v>0</v>
      </c>
      <c r="N254" s="7">
        <f t="shared" si="42"/>
        <v>0</v>
      </c>
      <c r="O254" s="7">
        <f t="shared" si="43"/>
        <v>0</v>
      </c>
    </row>
    <row r="255" spans="1:15" x14ac:dyDescent="0.2">
      <c r="A255">
        <f t="shared" si="36"/>
        <v>251</v>
      </c>
      <c r="B255" s="7">
        <f t="shared" si="37"/>
        <v>0</v>
      </c>
      <c r="C255" s="7">
        <f t="shared" si="33"/>
        <v>0</v>
      </c>
      <c r="D255" s="7">
        <f t="shared" si="34"/>
        <v>0</v>
      </c>
      <c r="E255" s="7">
        <f>SUM(C$5:C255)</f>
        <v>0</v>
      </c>
      <c r="F255" s="7">
        <f>SUM(D$5:D255)</f>
        <v>0</v>
      </c>
      <c r="G255" s="7">
        <f>$D$1-'Amort Schedule - Flip'!F255</f>
        <v>0</v>
      </c>
      <c r="H255" s="11" t="e">
        <f t="shared" si="35"/>
        <v>#DIV/0!</v>
      </c>
      <c r="J255" s="127">
        <f t="shared" si="38"/>
        <v>0</v>
      </c>
      <c r="K255" s="127">
        <f t="shared" si="39"/>
        <v>0</v>
      </c>
      <c r="L255" s="7">
        <f t="shared" si="40"/>
        <v>0</v>
      </c>
      <c r="M255" s="7">
        <f t="shared" si="41"/>
        <v>0</v>
      </c>
      <c r="N255" s="7">
        <f t="shared" si="42"/>
        <v>0</v>
      </c>
      <c r="O255" s="7">
        <f t="shared" si="43"/>
        <v>0</v>
      </c>
    </row>
    <row r="256" spans="1:15" s="6" customFormat="1" x14ac:dyDescent="0.2">
      <c r="A256" s="6">
        <f t="shared" si="36"/>
        <v>252</v>
      </c>
      <c r="B256" s="128">
        <f t="shared" si="37"/>
        <v>0</v>
      </c>
      <c r="C256" s="128">
        <f t="shared" si="33"/>
        <v>0</v>
      </c>
      <c r="D256" s="128">
        <f t="shared" si="34"/>
        <v>0</v>
      </c>
      <c r="E256" s="128">
        <f>SUM(C$5:C256)</f>
        <v>0</v>
      </c>
      <c r="F256" s="128">
        <f>SUM(D$5:D256)</f>
        <v>0</v>
      </c>
      <c r="G256" s="128">
        <f>$D$1-'Amort Schedule - Flip'!F256</f>
        <v>0</v>
      </c>
      <c r="H256" s="124" t="e">
        <f t="shared" si="35"/>
        <v>#DIV/0!</v>
      </c>
      <c r="J256" s="127">
        <f t="shared" si="38"/>
        <v>0</v>
      </c>
      <c r="K256" s="127">
        <f t="shared" si="39"/>
        <v>0</v>
      </c>
      <c r="L256" s="7">
        <f t="shared" si="40"/>
        <v>0</v>
      </c>
      <c r="M256" s="7">
        <f t="shared" si="41"/>
        <v>0</v>
      </c>
      <c r="N256" s="7">
        <f t="shared" si="42"/>
        <v>0</v>
      </c>
      <c r="O256" s="7">
        <f t="shared" si="43"/>
        <v>0</v>
      </c>
    </row>
    <row r="257" spans="1:15" x14ac:dyDescent="0.2">
      <c r="A257">
        <f t="shared" si="36"/>
        <v>253</v>
      </c>
      <c r="B257" s="7">
        <f t="shared" si="37"/>
        <v>0</v>
      </c>
      <c r="C257" s="7">
        <f t="shared" si="33"/>
        <v>0</v>
      </c>
      <c r="D257" s="7">
        <f t="shared" si="34"/>
        <v>0</v>
      </c>
      <c r="E257" s="7">
        <f>SUM(C$5:C257)</f>
        <v>0</v>
      </c>
      <c r="F257" s="7">
        <f>SUM(D$5:D257)</f>
        <v>0</v>
      </c>
      <c r="G257" s="7">
        <f>$D$1-'Amort Schedule - Flip'!F257</f>
        <v>0</v>
      </c>
      <c r="H257" s="11" t="e">
        <f t="shared" si="35"/>
        <v>#DIV/0!</v>
      </c>
      <c r="J257" s="127">
        <f t="shared" si="38"/>
        <v>0</v>
      </c>
      <c r="K257" s="127">
        <f t="shared" si="39"/>
        <v>0</v>
      </c>
      <c r="L257" s="7">
        <f t="shared" si="40"/>
        <v>0</v>
      </c>
      <c r="M257" s="7">
        <f t="shared" si="41"/>
        <v>0</v>
      </c>
      <c r="N257" s="7">
        <f t="shared" si="42"/>
        <v>0</v>
      </c>
      <c r="O257" s="7">
        <f t="shared" si="43"/>
        <v>0</v>
      </c>
    </row>
    <row r="258" spans="1:15" x14ac:dyDescent="0.2">
      <c r="A258">
        <f t="shared" si="36"/>
        <v>254</v>
      </c>
      <c r="B258" s="7">
        <f t="shared" si="37"/>
        <v>0</v>
      </c>
      <c r="C258" s="7">
        <f t="shared" si="33"/>
        <v>0</v>
      </c>
      <c r="D258" s="7">
        <f t="shared" si="34"/>
        <v>0</v>
      </c>
      <c r="E258" s="7">
        <f>SUM(C$5:C258)</f>
        <v>0</v>
      </c>
      <c r="F258" s="7">
        <f>SUM(D$5:D258)</f>
        <v>0</v>
      </c>
      <c r="G258" s="7">
        <f>$D$1-'Amort Schedule - Flip'!F258</f>
        <v>0</v>
      </c>
      <c r="H258" s="11" t="e">
        <f t="shared" si="35"/>
        <v>#DIV/0!</v>
      </c>
      <c r="J258" s="127">
        <f t="shared" si="38"/>
        <v>0</v>
      </c>
      <c r="K258" s="127">
        <f t="shared" si="39"/>
        <v>0</v>
      </c>
      <c r="L258" s="7">
        <f t="shared" si="40"/>
        <v>0</v>
      </c>
      <c r="M258" s="7">
        <f t="shared" si="41"/>
        <v>0</v>
      </c>
      <c r="N258" s="7">
        <f t="shared" si="42"/>
        <v>0</v>
      </c>
      <c r="O258" s="7">
        <f t="shared" si="43"/>
        <v>0</v>
      </c>
    </row>
    <row r="259" spans="1:15" x14ac:dyDescent="0.2">
      <c r="A259">
        <f t="shared" si="36"/>
        <v>255</v>
      </c>
      <c r="B259" s="7">
        <f t="shared" si="37"/>
        <v>0</v>
      </c>
      <c r="C259" s="7">
        <f t="shared" si="33"/>
        <v>0</v>
      </c>
      <c r="D259" s="7">
        <f t="shared" si="34"/>
        <v>0</v>
      </c>
      <c r="E259" s="7">
        <f>SUM(C$5:C259)</f>
        <v>0</v>
      </c>
      <c r="F259" s="7">
        <f>SUM(D$5:D259)</f>
        <v>0</v>
      </c>
      <c r="G259" s="7">
        <f>$D$1-'Amort Schedule - Flip'!F259</f>
        <v>0</v>
      </c>
      <c r="H259" s="11" t="e">
        <f t="shared" si="35"/>
        <v>#DIV/0!</v>
      </c>
      <c r="J259" s="127">
        <f t="shared" si="38"/>
        <v>0</v>
      </c>
      <c r="K259" s="127">
        <f t="shared" si="39"/>
        <v>0</v>
      </c>
      <c r="L259" s="7">
        <f t="shared" si="40"/>
        <v>0</v>
      </c>
      <c r="M259" s="7">
        <f t="shared" si="41"/>
        <v>0</v>
      </c>
      <c r="N259" s="7">
        <f t="shared" si="42"/>
        <v>0</v>
      </c>
      <c r="O259" s="7">
        <f t="shared" si="43"/>
        <v>0</v>
      </c>
    </row>
    <row r="260" spans="1:15" x14ac:dyDescent="0.2">
      <c r="A260">
        <f t="shared" si="36"/>
        <v>256</v>
      </c>
      <c r="B260" s="7">
        <f t="shared" si="37"/>
        <v>0</v>
      </c>
      <c r="C260" s="7">
        <f t="shared" si="33"/>
        <v>0</v>
      </c>
      <c r="D260" s="7">
        <f t="shared" si="34"/>
        <v>0</v>
      </c>
      <c r="E260" s="7">
        <f>SUM(C$5:C260)</f>
        <v>0</v>
      </c>
      <c r="F260" s="7">
        <f>SUM(D$5:D260)</f>
        <v>0</v>
      </c>
      <c r="G260" s="7">
        <f>$D$1-'Amort Schedule - Flip'!F260</f>
        <v>0</v>
      </c>
      <c r="H260" s="11" t="e">
        <f t="shared" si="35"/>
        <v>#DIV/0!</v>
      </c>
      <c r="J260" s="127">
        <f t="shared" si="38"/>
        <v>0</v>
      </c>
      <c r="K260" s="127">
        <f t="shared" si="39"/>
        <v>0</v>
      </c>
      <c r="L260" s="7">
        <f t="shared" si="40"/>
        <v>0</v>
      </c>
      <c r="M260" s="7">
        <f t="shared" si="41"/>
        <v>0</v>
      </c>
      <c r="N260" s="7">
        <f t="shared" si="42"/>
        <v>0</v>
      </c>
      <c r="O260" s="7">
        <f t="shared" si="43"/>
        <v>0</v>
      </c>
    </row>
    <row r="261" spans="1:15" x14ac:dyDescent="0.2">
      <c r="A261">
        <f t="shared" si="36"/>
        <v>257</v>
      </c>
      <c r="B261" s="7">
        <f t="shared" si="37"/>
        <v>0</v>
      </c>
      <c r="C261" s="7">
        <f t="shared" si="33"/>
        <v>0</v>
      </c>
      <c r="D261" s="7">
        <f t="shared" si="34"/>
        <v>0</v>
      </c>
      <c r="E261" s="7">
        <f>SUM(C$5:C261)</f>
        <v>0</v>
      </c>
      <c r="F261" s="7">
        <f>SUM(D$5:D261)</f>
        <v>0</v>
      </c>
      <c r="G261" s="7">
        <f>$D$1-'Amort Schedule - Flip'!F261</f>
        <v>0</v>
      </c>
      <c r="H261" s="11" t="e">
        <f t="shared" si="35"/>
        <v>#DIV/0!</v>
      </c>
      <c r="J261" s="127">
        <f t="shared" si="38"/>
        <v>0</v>
      </c>
      <c r="K261" s="127">
        <f t="shared" si="39"/>
        <v>0</v>
      </c>
      <c r="L261" s="7">
        <f t="shared" si="40"/>
        <v>0</v>
      </c>
      <c r="M261" s="7">
        <f t="shared" si="41"/>
        <v>0</v>
      </c>
      <c r="N261" s="7">
        <f t="shared" si="42"/>
        <v>0</v>
      </c>
      <c r="O261" s="7">
        <f t="shared" si="43"/>
        <v>0</v>
      </c>
    </row>
    <row r="262" spans="1:15" x14ac:dyDescent="0.2">
      <c r="A262">
        <f t="shared" si="36"/>
        <v>258</v>
      </c>
      <c r="B262" s="7">
        <f t="shared" si="37"/>
        <v>0</v>
      </c>
      <c r="C262" s="7">
        <f t="shared" ref="C262:C325" si="44">-IPMT($D$2/12,A262,$D$3,$D$1)</f>
        <v>0</v>
      </c>
      <c r="D262" s="7">
        <f t="shared" ref="D262:D325" si="45">-PPMT($D$2/12,A262,$D$3,$D$1)</f>
        <v>0</v>
      </c>
      <c r="E262" s="7">
        <f>SUM(C$5:C262)</f>
        <v>0</v>
      </c>
      <c r="F262" s="7">
        <f>SUM(D$5:D262)</f>
        <v>0</v>
      </c>
      <c r="G262" s="7">
        <f>$D$1-'Amort Schedule - Flip'!F262</f>
        <v>0</v>
      </c>
      <c r="H262" s="11" t="e">
        <f t="shared" ref="H262:H325" si="46">G262/$D$1</f>
        <v>#DIV/0!</v>
      </c>
      <c r="J262" s="127">
        <f t="shared" si="38"/>
        <v>0</v>
      </c>
      <c r="K262" s="127">
        <f t="shared" si="39"/>
        <v>0</v>
      </c>
      <c r="L262" s="7">
        <f t="shared" si="40"/>
        <v>0</v>
      </c>
      <c r="M262" s="7">
        <f t="shared" si="41"/>
        <v>0</v>
      </c>
      <c r="N262" s="7">
        <f t="shared" si="42"/>
        <v>0</v>
      </c>
      <c r="O262" s="7">
        <f t="shared" si="43"/>
        <v>0</v>
      </c>
    </row>
    <row r="263" spans="1:15" x14ac:dyDescent="0.2">
      <c r="A263">
        <f t="shared" ref="A263:A326" si="47">A262+1</f>
        <v>259</v>
      </c>
      <c r="B263" s="7">
        <f t="shared" ref="B263:B326" si="48">B262</f>
        <v>0</v>
      </c>
      <c r="C263" s="7">
        <f t="shared" si="44"/>
        <v>0</v>
      </c>
      <c r="D263" s="7">
        <f t="shared" si="45"/>
        <v>0</v>
      </c>
      <c r="E263" s="7">
        <f>SUM(C$5:C263)</f>
        <v>0</v>
      </c>
      <c r="F263" s="7">
        <f>SUM(D$5:D263)</f>
        <v>0</v>
      </c>
      <c r="G263" s="7">
        <f>$D$1-'Amort Schedule - Flip'!F263</f>
        <v>0</v>
      </c>
      <c r="H263" s="11" t="e">
        <f t="shared" si="46"/>
        <v>#DIV/0!</v>
      </c>
      <c r="J263" s="127">
        <f t="shared" ref="J263:J326" si="49">J262</f>
        <v>0</v>
      </c>
      <c r="K263" s="127">
        <f t="shared" ref="K263:K326" si="50">J263+K262</f>
        <v>0</v>
      </c>
      <c r="L263" s="7">
        <f t="shared" ref="L263:L326" si="51">B263-J263</f>
        <v>0</v>
      </c>
      <c r="M263" s="7">
        <f t="shared" ref="M263:M326" si="52">M262+L263</f>
        <v>0</v>
      </c>
      <c r="N263" s="7">
        <f t="shared" ref="N263:N326" si="53">C263-J263</f>
        <v>0</v>
      </c>
      <c r="O263" s="7">
        <f t="shared" ref="O263:O326" si="54">O262+N263</f>
        <v>0</v>
      </c>
    </row>
    <row r="264" spans="1:15" x14ac:dyDescent="0.2">
      <c r="A264">
        <f t="shared" si="47"/>
        <v>260</v>
      </c>
      <c r="B264" s="7">
        <f t="shared" si="48"/>
        <v>0</v>
      </c>
      <c r="C264" s="7">
        <f t="shared" si="44"/>
        <v>0</v>
      </c>
      <c r="D264" s="7">
        <f t="shared" si="45"/>
        <v>0</v>
      </c>
      <c r="E264" s="7">
        <f>SUM(C$5:C264)</f>
        <v>0</v>
      </c>
      <c r="F264" s="7">
        <f>SUM(D$5:D264)</f>
        <v>0</v>
      </c>
      <c r="G264" s="7">
        <f>$D$1-'Amort Schedule - Flip'!F264</f>
        <v>0</v>
      </c>
      <c r="H264" s="11" t="e">
        <f t="shared" si="46"/>
        <v>#DIV/0!</v>
      </c>
      <c r="J264" s="127">
        <f t="shared" si="49"/>
        <v>0</v>
      </c>
      <c r="K264" s="127">
        <f t="shared" si="50"/>
        <v>0</v>
      </c>
      <c r="L264" s="7">
        <f t="shared" si="51"/>
        <v>0</v>
      </c>
      <c r="M264" s="7">
        <f t="shared" si="52"/>
        <v>0</v>
      </c>
      <c r="N264" s="7">
        <f t="shared" si="53"/>
        <v>0</v>
      </c>
      <c r="O264" s="7">
        <f t="shared" si="54"/>
        <v>0</v>
      </c>
    </row>
    <row r="265" spans="1:15" x14ac:dyDescent="0.2">
      <c r="A265">
        <f t="shared" si="47"/>
        <v>261</v>
      </c>
      <c r="B265" s="7">
        <f t="shared" si="48"/>
        <v>0</v>
      </c>
      <c r="C265" s="7">
        <f t="shared" si="44"/>
        <v>0</v>
      </c>
      <c r="D265" s="7">
        <f t="shared" si="45"/>
        <v>0</v>
      </c>
      <c r="E265" s="7">
        <f>SUM(C$5:C265)</f>
        <v>0</v>
      </c>
      <c r="F265" s="7">
        <f>SUM(D$5:D265)</f>
        <v>0</v>
      </c>
      <c r="G265" s="7">
        <f>$D$1-'Amort Schedule - Flip'!F265</f>
        <v>0</v>
      </c>
      <c r="H265" s="11" t="e">
        <f t="shared" si="46"/>
        <v>#DIV/0!</v>
      </c>
      <c r="J265" s="127">
        <f t="shared" si="49"/>
        <v>0</v>
      </c>
      <c r="K265" s="127">
        <f t="shared" si="50"/>
        <v>0</v>
      </c>
      <c r="L265" s="7">
        <f t="shared" si="51"/>
        <v>0</v>
      </c>
      <c r="M265" s="7">
        <f t="shared" si="52"/>
        <v>0</v>
      </c>
      <c r="N265" s="7">
        <f t="shared" si="53"/>
        <v>0</v>
      </c>
      <c r="O265" s="7">
        <f t="shared" si="54"/>
        <v>0</v>
      </c>
    </row>
    <row r="266" spans="1:15" x14ac:dyDescent="0.2">
      <c r="A266">
        <f t="shared" si="47"/>
        <v>262</v>
      </c>
      <c r="B266" s="7">
        <f t="shared" si="48"/>
        <v>0</v>
      </c>
      <c r="C266" s="7">
        <f t="shared" si="44"/>
        <v>0</v>
      </c>
      <c r="D266" s="7">
        <f t="shared" si="45"/>
        <v>0</v>
      </c>
      <c r="E266" s="7">
        <f>SUM(C$5:C266)</f>
        <v>0</v>
      </c>
      <c r="F266" s="7">
        <f>SUM(D$5:D266)</f>
        <v>0</v>
      </c>
      <c r="G266" s="7">
        <f>$D$1-'Amort Schedule - Flip'!F266</f>
        <v>0</v>
      </c>
      <c r="H266" s="11" t="e">
        <f t="shared" si="46"/>
        <v>#DIV/0!</v>
      </c>
      <c r="J266" s="127">
        <f t="shared" si="49"/>
        <v>0</v>
      </c>
      <c r="K266" s="127">
        <f t="shared" si="50"/>
        <v>0</v>
      </c>
      <c r="L266" s="7">
        <f t="shared" si="51"/>
        <v>0</v>
      </c>
      <c r="M266" s="7">
        <f t="shared" si="52"/>
        <v>0</v>
      </c>
      <c r="N266" s="7">
        <f t="shared" si="53"/>
        <v>0</v>
      </c>
      <c r="O266" s="7">
        <f t="shared" si="54"/>
        <v>0</v>
      </c>
    </row>
    <row r="267" spans="1:15" x14ac:dyDescent="0.2">
      <c r="A267">
        <f t="shared" si="47"/>
        <v>263</v>
      </c>
      <c r="B267" s="7">
        <f t="shared" si="48"/>
        <v>0</v>
      </c>
      <c r="C267" s="7">
        <f t="shared" si="44"/>
        <v>0</v>
      </c>
      <c r="D267" s="7">
        <f t="shared" si="45"/>
        <v>0</v>
      </c>
      <c r="E267" s="7">
        <f>SUM(C$5:C267)</f>
        <v>0</v>
      </c>
      <c r="F267" s="7">
        <f>SUM(D$5:D267)</f>
        <v>0</v>
      </c>
      <c r="G267" s="7">
        <f>$D$1-'Amort Schedule - Flip'!F267</f>
        <v>0</v>
      </c>
      <c r="H267" s="11" t="e">
        <f t="shared" si="46"/>
        <v>#DIV/0!</v>
      </c>
      <c r="J267" s="127">
        <f t="shared" si="49"/>
        <v>0</v>
      </c>
      <c r="K267" s="127">
        <f t="shared" si="50"/>
        <v>0</v>
      </c>
      <c r="L267" s="7">
        <f t="shared" si="51"/>
        <v>0</v>
      </c>
      <c r="M267" s="7">
        <f t="shared" si="52"/>
        <v>0</v>
      </c>
      <c r="N267" s="7">
        <f t="shared" si="53"/>
        <v>0</v>
      </c>
      <c r="O267" s="7">
        <f t="shared" si="54"/>
        <v>0</v>
      </c>
    </row>
    <row r="268" spans="1:15" s="6" customFormat="1" x14ac:dyDescent="0.2">
      <c r="A268" s="6">
        <f t="shared" si="47"/>
        <v>264</v>
      </c>
      <c r="B268" s="128">
        <f t="shared" si="48"/>
        <v>0</v>
      </c>
      <c r="C268" s="128">
        <f t="shared" si="44"/>
        <v>0</v>
      </c>
      <c r="D268" s="128">
        <f t="shared" si="45"/>
        <v>0</v>
      </c>
      <c r="E268" s="128">
        <f>SUM(C$5:C268)</f>
        <v>0</v>
      </c>
      <c r="F268" s="128">
        <f>SUM(D$5:D268)</f>
        <v>0</v>
      </c>
      <c r="G268" s="128">
        <f>$D$1-'Amort Schedule - Flip'!F268</f>
        <v>0</v>
      </c>
      <c r="H268" s="124" t="e">
        <f t="shared" si="46"/>
        <v>#DIV/0!</v>
      </c>
      <c r="J268" s="127">
        <f t="shared" si="49"/>
        <v>0</v>
      </c>
      <c r="K268" s="127">
        <f t="shared" si="50"/>
        <v>0</v>
      </c>
      <c r="L268" s="7">
        <f t="shared" si="51"/>
        <v>0</v>
      </c>
      <c r="M268" s="7">
        <f t="shared" si="52"/>
        <v>0</v>
      </c>
      <c r="N268" s="7">
        <f t="shared" si="53"/>
        <v>0</v>
      </c>
      <c r="O268" s="7">
        <f t="shared" si="54"/>
        <v>0</v>
      </c>
    </row>
    <row r="269" spans="1:15" x14ac:dyDescent="0.2">
      <c r="A269">
        <f t="shared" si="47"/>
        <v>265</v>
      </c>
      <c r="B269" s="7">
        <f t="shared" si="48"/>
        <v>0</v>
      </c>
      <c r="C269" s="7">
        <f t="shared" si="44"/>
        <v>0</v>
      </c>
      <c r="D269" s="7">
        <f t="shared" si="45"/>
        <v>0</v>
      </c>
      <c r="E269" s="7">
        <f>SUM(C$5:C269)</f>
        <v>0</v>
      </c>
      <c r="F269" s="7">
        <f>SUM(D$5:D269)</f>
        <v>0</v>
      </c>
      <c r="G269" s="7">
        <f>$D$1-'Amort Schedule - Flip'!F269</f>
        <v>0</v>
      </c>
      <c r="H269" s="11" t="e">
        <f t="shared" si="46"/>
        <v>#DIV/0!</v>
      </c>
      <c r="J269" s="127">
        <f t="shared" si="49"/>
        <v>0</v>
      </c>
      <c r="K269" s="127">
        <f t="shared" si="50"/>
        <v>0</v>
      </c>
      <c r="L269" s="7">
        <f t="shared" si="51"/>
        <v>0</v>
      </c>
      <c r="M269" s="7">
        <f t="shared" si="52"/>
        <v>0</v>
      </c>
      <c r="N269" s="7">
        <f t="shared" si="53"/>
        <v>0</v>
      </c>
      <c r="O269" s="7">
        <f t="shared" si="54"/>
        <v>0</v>
      </c>
    </row>
    <row r="270" spans="1:15" x14ac:dyDescent="0.2">
      <c r="A270">
        <f t="shared" si="47"/>
        <v>266</v>
      </c>
      <c r="B270" s="7">
        <f t="shared" si="48"/>
        <v>0</v>
      </c>
      <c r="C270" s="7">
        <f t="shared" si="44"/>
        <v>0</v>
      </c>
      <c r="D270" s="7">
        <f t="shared" si="45"/>
        <v>0</v>
      </c>
      <c r="E270" s="7">
        <f>SUM(C$5:C270)</f>
        <v>0</v>
      </c>
      <c r="F270" s="7">
        <f>SUM(D$5:D270)</f>
        <v>0</v>
      </c>
      <c r="G270" s="7">
        <f>$D$1-'Amort Schedule - Flip'!F270</f>
        <v>0</v>
      </c>
      <c r="H270" s="11" t="e">
        <f t="shared" si="46"/>
        <v>#DIV/0!</v>
      </c>
      <c r="J270" s="127">
        <f t="shared" si="49"/>
        <v>0</v>
      </c>
      <c r="K270" s="127">
        <f t="shared" si="50"/>
        <v>0</v>
      </c>
      <c r="L270" s="7">
        <f t="shared" si="51"/>
        <v>0</v>
      </c>
      <c r="M270" s="7">
        <f t="shared" si="52"/>
        <v>0</v>
      </c>
      <c r="N270" s="7">
        <f t="shared" si="53"/>
        <v>0</v>
      </c>
      <c r="O270" s="7">
        <f t="shared" si="54"/>
        <v>0</v>
      </c>
    </row>
    <row r="271" spans="1:15" x14ac:dyDescent="0.2">
      <c r="A271">
        <f t="shared" si="47"/>
        <v>267</v>
      </c>
      <c r="B271" s="7">
        <f t="shared" si="48"/>
        <v>0</v>
      </c>
      <c r="C271" s="7">
        <f t="shared" si="44"/>
        <v>0</v>
      </c>
      <c r="D271" s="7">
        <f t="shared" si="45"/>
        <v>0</v>
      </c>
      <c r="E271" s="7">
        <f>SUM(C$5:C271)</f>
        <v>0</v>
      </c>
      <c r="F271" s="7">
        <f>SUM(D$5:D271)</f>
        <v>0</v>
      </c>
      <c r="G271" s="7">
        <f>$D$1-'Amort Schedule - Flip'!F271</f>
        <v>0</v>
      </c>
      <c r="H271" s="11" t="e">
        <f t="shared" si="46"/>
        <v>#DIV/0!</v>
      </c>
      <c r="J271" s="127">
        <f t="shared" si="49"/>
        <v>0</v>
      </c>
      <c r="K271" s="127">
        <f t="shared" si="50"/>
        <v>0</v>
      </c>
      <c r="L271" s="7">
        <f t="shared" si="51"/>
        <v>0</v>
      </c>
      <c r="M271" s="7">
        <f t="shared" si="52"/>
        <v>0</v>
      </c>
      <c r="N271" s="7">
        <f t="shared" si="53"/>
        <v>0</v>
      </c>
      <c r="O271" s="7">
        <f t="shared" si="54"/>
        <v>0</v>
      </c>
    </row>
    <row r="272" spans="1:15" x14ac:dyDescent="0.2">
      <c r="A272">
        <f t="shared" si="47"/>
        <v>268</v>
      </c>
      <c r="B272" s="7">
        <f t="shared" si="48"/>
        <v>0</v>
      </c>
      <c r="C272" s="7">
        <f t="shared" si="44"/>
        <v>0</v>
      </c>
      <c r="D272" s="7">
        <f t="shared" si="45"/>
        <v>0</v>
      </c>
      <c r="E272" s="7">
        <f>SUM(C$5:C272)</f>
        <v>0</v>
      </c>
      <c r="F272" s="7">
        <f>SUM(D$5:D272)</f>
        <v>0</v>
      </c>
      <c r="G272" s="7">
        <f>$D$1-'Amort Schedule - Flip'!F272</f>
        <v>0</v>
      </c>
      <c r="H272" s="11" t="e">
        <f t="shared" si="46"/>
        <v>#DIV/0!</v>
      </c>
      <c r="J272" s="127">
        <f t="shared" si="49"/>
        <v>0</v>
      </c>
      <c r="K272" s="127">
        <f t="shared" si="50"/>
        <v>0</v>
      </c>
      <c r="L272" s="7">
        <f t="shared" si="51"/>
        <v>0</v>
      </c>
      <c r="M272" s="7">
        <f t="shared" si="52"/>
        <v>0</v>
      </c>
      <c r="N272" s="7">
        <f t="shared" si="53"/>
        <v>0</v>
      </c>
      <c r="O272" s="7">
        <f t="shared" si="54"/>
        <v>0</v>
      </c>
    </row>
    <row r="273" spans="1:15" x14ac:dyDescent="0.2">
      <c r="A273">
        <f t="shared" si="47"/>
        <v>269</v>
      </c>
      <c r="B273" s="7">
        <f t="shared" si="48"/>
        <v>0</v>
      </c>
      <c r="C273" s="7">
        <f t="shared" si="44"/>
        <v>0</v>
      </c>
      <c r="D273" s="7">
        <f t="shared" si="45"/>
        <v>0</v>
      </c>
      <c r="E273" s="7">
        <f>SUM(C$5:C273)</f>
        <v>0</v>
      </c>
      <c r="F273" s="7">
        <f>SUM(D$5:D273)</f>
        <v>0</v>
      </c>
      <c r="G273" s="7">
        <f>$D$1-'Amort Schedule - Flip'!F273</f>
        <v>0</v>
      </c>
      <c r="H273" s="11" t="e">
        <f t="shared" si="46"/>
        <v>#DIV/0!</v>
      </c>
      <c r="J273" s="127">
        <f t="shared" si="49"/>
        <v>0</v>
      </c>
      <c r="K273" s="127">
        <f t="shared" si="50"/>
        <v>0</v>
      </c>
      <c r="L273" s="7">
        <f t="shared" si="51"/>
        <v>0</v>
      </c>
      <c r="M273" s="7">
        <f t="shared" si="52"/>
        <v>0</v>
      </c>
      <c r="N273" s="7">
        <f t="shared" si="53"/>
        <v>0</v>
      </c>
      <c r="O273" s="7">
        <f t="shared" si="54"/>
        <v>0</v>
      </c>
    </row>
    <row r="274" spans="1:15" x14ac:dyDescent="0.2">
      <c r="A274">
        <f t="shared" si="47"/>
        <v>270</v>
      </c>
      <c r="B274" s="7">
        <f t="shared" si="48"/>
        <v>0</v>
      </c>
      <c r="C274" s="7">
        <f t="shared" si="44"/>
        <v>0</v>
      </c>
      <c r="D274" s="7">
        <f t="shared" si="45"/>
        <v>0</v>
      </c>
      <c r="E274" s="7">
        <f>SUM(C$5:C274)</f>
        <v>0</v>
      </c>
      <c r="F274" s="7">
        <f>SUM(D$5:D274)</f>
        <v>0</v>
      </c>
      <c r="G274" s="7">
        <f>$D$1-'Amort Schedule - Flip'!F274</f>
        <v>0</v>
      </c>
      <c r="H274" s="11" t="e">
        <f t="shared" si="46"/>
        <v>#DIV/0!</v>
      </c>
      <c r="J274" s="127">
        <f t="shared" si="49"/>
        <v>0</v>
      </c>
      <c r="K274" s="127">
        <f t="shared" si="50"/>
        <v>0</v>
      </c>
      <c r="L274" s="7">
        <f t="shared" si="51"/>
        <v>0</v>
      </c>
      <c r="M274" s="7">
        <f t="shared" si="52"/>
        <v>0</v>
      </c>
      <c r="N274" s="7">
        <f t="shared" si="53"/>
        <v>0</v>
      </c>
      <c r="O274" s="7">
        <f t="shared" si="54"/>
        <v>0</v>
      </c>
    </row>
    <row r="275" spans="1:15" x14ac:dyDescent="0.2">
      <c r="A275">
        <f t="shared" si="47"/>
        <v>271</v>
      </c>
      <c r="B275" s="7">
        <f t="shared" si="48"/>
        <v>0</v>
      </c>
      <c r="C275" s="7">
        <f t="shared" si="44"/>
        <v>0</v>
      </c>
      <c r="D275" s="7">
        <f t="shared" si="45"/>
        <v>0</v>
      </c>
      <c r="E275" s="7">
        <f>SUM(C$5:C275)</f>
        <v>0</v>
      </c>
      <c r="F275" s="7">
        <f>SUM(D$5:D275)</f>
        <v>0</v>
      </c>
      <c r="G275" s="7">
        <f>$D$1-'Amort Schedule - Flip'!F275</f>
        <v>0</v>
      </c>
      <c r="H275" s="11" t="e">
        <f t="shared" si="46"/>
        <v>#DIV/0!</v>
      </c>
      <c r="J275" s="127">
        <f t="shared" si="49"/>
        <v>0</v>
      </c>
      <c r="K275" s="127">
        <f t="shared" si="50"/>
        <v>0</v>
      </c>
      <c r="L275" s="7">
        <f t="shared" si="51"/>
        <v>0</v>
      </c>
      <c r="M275" s="7">
        <f t="shared" si="52"/>
        <v>0</v>
      </c>
      <c r="N275" s="7">
        <f t="shared" si="53"/>
        <v>0</v>
      </c>
      <c r="O275" s="7">
        <f t="shared" si="54"/>
        <v>0</v>
      </c>
    </row>
    <row r="276" spans="1:15" x14ac:dyDescent="0.2">
      <c r="A276">
        <f t="shared" si="47"/>
        <v>272</v>
      </c>
      <c r="B276" s="7">
        <f t="shared" si="48"/>
        <v>0</v>
      </c>
      <c r="C276" s="7">
        <f t="shared" si="44"/>
        <v>0</v>
      </c>
      <c r="D276" s="7">
        <f t="shared" si="45"/>
        <v>0</v>
      </c>
      <c r="E276" s="7">
        <f>SUM(C$5:C276)</f>
        <v>0</v>
      </c>
      <c r="F276" s="7">
        <f>SUM(D$5:D276)</f>
        <v>0</v>
      </c>
      <c r="G276" s="7">
        <f>$D$1-'Amort Schedule - Flip'!F276</f>
        <v>0</v>
      </c>
      <c r="H276" s="11" t="e">
        <f t="shared" si="46"/>
        <v>#DIV/0!</v>
      </c>
      <c r="J276" s="127">
        <f t="shared" si="49"/>
        <v>0</v>
      </c>
      <c r="K276" s="127">
        <f t="shared" si="50"/>
        <v>0</v>
      </c>
      <c r="L276" s="7">
        <f t="shared" si="51"/>
        <v>0</v>
      </c>
      <c r="M276" s="7">
        <f t="shared" si="52"/>
        <v>0</v>
      </c>
      <c r="N276" s="7">
        <f t="shared" si="53"/>
        <v>0</v>
      </c>
      <c r="O276" s="7">
        <f t="shared" si="54"/>
        <v>0</v>
      </c>
    </row>
    <row r="277" spans="1:15" x14ac:dyDescent="0.2">
      <c r="A277">
        <f t="shared" si="47"/>
        <v>273</v>
      </c>
      <c r="B277" s="7">
        <f t="shared" si="48"/>
        <v>0</v>
      </c>
      <c r="C277" s="7">
        <f t="shared" si="44"/>
        <v>0</v>
      </c>
      <c r="D277" s="7">
        <f t="shared" si="45"/>
        <v>0</v>
      </c>
      <c r="E277" s="7">
        <f>SUM(C$5:C277)</f>
        <v>0</v>
      </c>
      <c r="F277" s="7">
        <f>SUM(D$5:D277)</f>
        <v>0</v>
      </c>
      <c r="G277" s="7">
        <f>$D$1-'Amort Schedule - Flip'!F277</f>
        <v>0</v>
      </c>
      <c r="H277" s="11" t="e">
        <f t="shared" si="46"/>
        <v>#DIV/0!</v>
      </c>
      <c r="J277" s="127">
        <f t="shared" si="49"/>
        <v>0</v>
      </c>
      <c r="K277" s="127">
        <f t="shared" si="50"/>
        <v>0</v>
      </c>
      <c r="L277" s="7">
        <f t="shared" si="51"/>
        <v>0</v>
      </c>
      <c r="M277" s="7">
        <f t="shared" si="52"/>
        <v>0</v>
      </c>
      <c r="N277" s="7">
        <f t="shared" si="53"/>
        <v>0</v>
      </c>
      <c r="O277" s="7">
        <f t="shared" si="54"/>
        <v>0</v>
      </c>
    </row>
    <row r="278" spans="1:15" x14ac:dyDescent="0.2">
      <c r="A278">
        <f t="shared" si="47"/>
        <v>274</v>
      </c>
      <c r="B278" s="7">
        <f t="shared" si="48"/>
        <v>0</v>
      </c>
      <c r="C278" s="7">
        <f t="shared" si="44"/>
        <v>0</v>
      </c>
      <c r="D278" s="7">
        <f t="shared" si="45"/>
        <v>0</v>
      </c>
      <c r="E278" s="7">
        <f>SUM(C$5:C278)</f>
        <v>0</v>
      </c>
      <c r="F278" s="7">
        <f>SUM(D$5:D278)</f>
        <v>0</v>
      </c>
      <c r="G278" s="7">
        <f>$D$1-'Amort Schedule - Flip'!F278</f>
        <v>0</v>
      </c>
      <c r="H278" s="11" t="e">
        <f t="shared" si="46"/>
        <v>#DIV/0!</v>
      </c>
      <c r="J278" s="127">
        <f t="shared" si="49"/>
        <v>0</v>
      </c>
      <c r="K278" s="127">
        <f t="shared" si="50"/>
        <v>0</v>
      </c>
      <c r="L278" s="7">
        <f t="shared" si="51"/>
        <v>0</v>
      </c>
      <c r="M278" s="7">
        <f t="shared" si="52"/>
        <v>0</v>
      </c>
      <c r="N278" s="7">
        <f t="shared" si="53"/>
        <v>0</v>
      </c>
      <c r="O278" s="7">
        <f t="shared" si="54"/>
        <v>0</v>
      </c>
    </row>
    <row r="279" spans="1:15" x14ac:dyDescent="0.2">
      <c r="A279">
        <f t="shared" si="47"/>
        <v>275</v>
      </c>
      <c r="B279" s="7">
        <f t="shared" si="48"/>
        <v>0</v>
      </c>
      <c r="C279" s="7">
        <f t="shared" si="44"/>
        <v>0</v>
      </c>
      <c r="D279" s="7">
        <f t="shared" si="45"/>
        <v>0</v>
      </c>
      <c r="E279" s="7">
        <f>SUM(C$5:C279)</f>
        <v>0</v>
      </c>
      <c r="F279" s="7">
        <f>SUM(D$5:D279)</f>
        <v>0</v>
      </c>
      <c r="G279" s="7">
        <f>$D$1-'Amort Schedule - Flip'!F279</f>
        <v>0</v>
      </c>
      <c r="H279" s="11" t="e">
        <f t="shared" si="46"/>
        <v>#DIV/0!</v>
      </c>
      <c r="J279" s="127">
        <f t="shared" si="49"/>
        <v>0</v>
      </c>
      <c r="K279" s="127">
        <f t="shared" si="50"/>
        <v>0</v>
      </c>
      <c r="L279" s="7">
        <f t="shared" si="51"/>
        <v>0</v>
      </c>
      <c r="M279" s="7">
        <f t="shared" si="52"/>
        <v>0</v>
      </c>
      <c r="N279" s="7">
        <f t="shared" si="53"/>
        <v>0</v>
      </c>
      <c r="O279" s="7">
        <f t="shared" si="54"/>
        <v>0</v>
      </c>
    </row>
    <row r="280" spans="1:15" s="6" customFormat="1" x14ac:dyDescent="0.2">
      <c r="A280" s="6">
        <f t="shared" si="47"/>
        <v>276</v>
      </c>
      <c r="B280" s="128">
        <f t="shared" si="48"/>
        <v>0</v>
      </c>
      <c r="C280" s="128">
        <f t="shared" si="44"/>
        <v>0</v>
      </c>
      <c r="D280" s="128">
        <f t="shared" si="45"/>
        <v>0</v>
      </c>
      <c r="E280" s="128">
        <f>SUM(C$5:C280)</f>
        <v>0</v>
      </c>
      <c r="F280" s="128">
        <f>SUM(D$5:D280)</f>
        <v>0</v>
      </c>
      <c r="G280" s="128">
        <f>$D$1-'Amort Schedule - Flip'!F280</f>
        <v>0</v>
      </c>
      <c r="H280" s="124" t="e">
        <f t="shared" si="46"/>
        <v>#DIV/0!</v>
      </c>
      <c r="J280" s="127">
        <f t="shared" si="49"/>
        <v>0</v>
      </c>
      <c r="K280" s="127">
        <f t="shared" si="50"/>
        <v>0</v>
      </c>
      <c r="L280" s="7">
        <f t="shared" si="51"/>
        <v>0</v>
      </c>
      <c r="M280" s="7">
        <f t="shared" si="52"/>
        <v>0</v>
      </c>
      <c r="N280" s="7">
        <f t="shared" si="53"/>
        <v>0</v>
      </c>
      <c r="O280" s="7">
        <f t="shared" si="54"/>
        <v>0</v>
      </c>
    </row>
    <row r="281" spans="1:15" x14ac:dyDescent="0.2">
      <c r="A281">
        <f t="shared" si="47"/>
        <v>277</v>
      </c>
      <c r="B281" s="7">
        <f t="shared" si="48"/>
        <v>0</v>
      </c>
      <c r="C281" s="7">
        <f t="shared" si="44"/>
        <v>0</v>
      </c>
      <c r="D281" s="7">
        <f t="shared" si="45"/>
        <v>0</v>
      </c>
      <c r="E281" s="7">
        <f>SUM(C$5:C281)</f>
        <v>0</v>
      </c>
      <c r="F281" s="7">
        <f>SUM(D$5:D281)</f>
        <v>0</v>
      </c>
      <c r="G281" s="7">
        <f>$D$1-'Amort Schedule - Flip'!F281</f>
        <v>0</v>
      </c>
      <c r="H281" s="11" t="e">
        <f t="shared" si="46"/>
        <v>#DIV/0!</v>
      </c>
      <c r="J281" s="127">
        <f t="shared" si="49"/>
        <v>0</v>
      </c>
      <c r="K281" s="127">
        <f t="shared" si="50"/>
        <v>0</v>
      </c>
      <c r="L281" s="7">
        <f t="shared" si="51"/>
        <v>0</v>
      </c>
      <c r="M281" s="7">
        <f t="shared" si="52"/>
        <v>0</v>
      </c>
      <c r="N281" s="7">
        <f t="shared" si="53"/>
        <v>0</v>
      </c>
      <c r="O281" s="7">
        <f t="shared" si="54"/>
        <v>0</v>
      </c>
    </row>
    <row r="282" spans="1:15" x14ac:dyDescent="0.2">
      <c r="A282">
        <f t="shared" si="47"/>
        <v>278</v>
      </c>
      <c r="B282" s="7">
        <f t="shared" si="48"/>
        <v>0</v>
      </c>
      <c r="C282" s="7">
        <f t="shared" si="44"/>
        <v>0</v>
      </c>
      <c r="D282" s="7">
        <f t="shared" si="45"/>
        <v>0</v>
      </c>
      <c r="E282" s="7">
        <f>SUM(C$5:C282)</f>
        <v>0</v>
      </c>
      <c r="F282" s="7">
        <f>SUM(D$5:D282)</f>
        <v>0</v>
      </c>
      <c r="G282" s="7">
        <f>$D$1-'Amort Schedule - Flip'!F282</f>
        <v>0</v>
      </c>
      <c r="H282" s="11" t="e">
        <f t="shared" si="46"/>
        <v>#DIV/0!</v>
      </c>
      <c r="J282" s="127">
        <f t="shared" si="49"/>
        <v>0</v>
      </c>
      <c r="K282" s="127">
        <f t="shared" si="50"/>
        <v>0</v>
      </c>
      <c r="L282" s="7">
        <f t="shared" si="51"/>
        <v>0</v>
      </c>
      <c r="M282" s="7">
        <f t="shared" si="52"/>
        <v>0</v>
      </c>
      <c r="N282" s="7">
        <f t="shared" si="53"/>
        <v>0</v>
      </c>
      <c r="O282" s="7">
        <f t="shared" si="54"/>
        <v>0</v>
      </c>
    </row>
    <row r="283" spans="1:15" x14ac:dyDescent="0.2">
      <c r="A283">
        <f t="shared" si="47"/>
        <v>279</v>
      </c>
      <c r="B283" s="7">
        <f t="shared" si="48"/>
        <v>0</v>
      </c>
      <c r="C283" s="7">
        <f t="shared" si="44"/>
        <v>0</v>
      </c>
      <c r="D283" s="7">
        <f t="shared" si="45"/>
        <v>0</v>
      </c>
      <c r="E283" s="7">
        <f>SUM(C$5:C283)</f>
        <v>0</v>
      </c>
      <c r="F283" s="7">
        <f>SUM(D$5:D283)</f>
        <v>0</v>
      </c>
      <c r="G283" s="7">
        <f>$D$1-'Amort Schedule - Flip'!F283</f>
        <v>0</v>
      </c>
      <c r="H283" s="11" t="e">
        <f t="shared" si="46"/>
        <v>#DIV/0!</v>
      </c>
      <c r="J283" s="127">
        <f t="shared" si="49"/>
        <v>0</v>
      </c>
      <c r="K283" s="127">
        <f t="shared" si="50"/>
        <v>0</v>
      </c>
      <c r="L283" s="7">
        <f t="shared" si="51"/>
        <v>0</v>
      </c>
      <c r="M283" s="7">
        <f t="shared" si="52"/>
        <v>0</v>
      </c>
      <c r="N283" s="7">
        <f t="shared" si="53"/>
        <v>0</v>
      </c>
      <c r="O283" s="7">
        <f t="shared" si="54"/>
        <v>0</v>
      </c>
    </row>
    <row r="284" spans="1:15" x14ac:dyDescent="0.2">
      <c r="A284">
        <f t="shared" si="47"/>
        <v>280</v>
      </c>
      <c r="B284" s="7">
        <f t="shared" si="48"/>
        <v>0</v>
      </c>
      <c r="C284" s="7">
        <f t="shared" si="44"/>
        <v>0</v>
      </c>
      <c r="D284" s="7">
        <f t="shared" si="45"/>
        <v>0</v>
      </c>
      <c r="E284" s="7">
        <f>SUM(C$5:C284)</f>
        <v>0</v>
      </c>
      <c r="F284" s="7">
        <f>SUM(D$5:D284)</f>
        <v>0</v>
      </c>
      <c r="G284" s="7">
        <f>$D$1-'Amort Schedule - Flip'!F284</f>
        <v>0</v>
      </c>
      <c r="H284" s="11" t="e">
        <f t="shared" si="46"/>
        <v>#DIV/0!</v>
      </c>
      <c r="J284" s="127">
        <f t="shared" si="49"/>
        <v>0</v>
      </c>
      <c r="K284" s="127">
        <f t="shared" si="50"/>
        <v>0</v>
      </c>
      <c r="L284" s="7">
        <f t="shared" si="51"/>
        <v>0</v>
      </c>
      <c r="M284" s="7">
        <f t="shared" si="52"/>
        <v>0</v>
      </c>
      <c r="N284" s="7">
        <f t="shared" si="53"/>
        <v>0</v>
      </c>
      <c r="O284" s="7">
        <f t="shared" si="54"/>
        <v>0</v>
      </c>
    </row>
    <row r="285" spans="1:15" x14ac:dyDescent="0.2">
      <c r="A285">
        <f t="shared" si="47"/>
        <v>281</v>
      </c>
      <c r="B285" s="7">
        <f t="shared" si="48"/>
        <v>0</v>
      </c>
      <c r="C285" s="7">
        <f t="shared" si="44"/>
        <v>0</v>
      </c>
      <c r="D285" s="7">
        <f t="shared" si="45"/>
        <v>0</v>
      </c>
      <c r="E285" s="7">
        <f>SUM(C$5:C285)</f>
        <v>0</v>
      </c>
      <c r="F285" s="7">
        <f>SUM(D$5:D285)</f>
        <v>0</v>
      </c>
      <c r="G285" s="7">
        <f>$D$1-'Amort Schedule - Flip'!F285</f>
        <v>0</v>
      </c>
      <c r="H285" s="11" t="e">
        <f t="shared" si="46"/>
        <v>#DIV/0!</v>
      </c>
      <c r="J285" s="127">
        <f t="shared" si="49"/>
        <v>0</v>
      </c>
      <c r="K285" s="127">
        <f t="shared" si="50"/>
        <v>0</v>
      </c>
      <c r="L285" s="7">
        <f t="shared" si="51"/>
        <v>0</v>
      </c>
      <c r="M285" s="7">
        <f t="shared" si="52"/>
        <v>0</v>
      </c>
      <c r="N285" s="7">
        <f t="shared" si="53"/>
        <v>0</v>
      </c>
      <c r="O285" s="7">
        <f t="shared" si="54"/>
        <v>0</v>
      </c>
    </row>
    <row r="286" spans="1:15" x14ac:dyDescent="0.2">
      <c r="A286">
        <f t="shared" si="47"/>
        <v>282</v>
      </c>
      <c r="B286" s="7">
        <f t="shared" si="48"/>
        <v>0</v>
      </c>
      <c r="C286" s="7">
        <f t="shared" si="44"/>
        <v>0</v>
      </c>
      <c r="D286" s="7">
        <f t="shared" si="45"/>
        <v>0</v>
      </c>
      <c r="E286" s="7">
        <f>SUM(C$5:C286)</f>
        <v>0</v>
      </c>
      <c r="F286" s="7">
        <f>SUM(D$5:D286)</f>
        <v>0</v>
      </c>
      <c r="G286" s="7">
        <f>$D$1-'Amort Schedule - Flip'!F286</f>
        <v>0</v>
      </c>
      <c r="H286" s="11" t="e">
        <f t="shared" si="46"/>
        <v>#DIV/0!</v>
      </c>
      <c r="J286" s="127">
        <f t="shared" si="49"/>
        <v>0</v>
      </c>
      <c r="K286" s="127">
        <f t="shared" si="50"/>
        <v>0</v>
      </c>
      <c r="L286" s="7">
        <f t="shared" si="51"/>
        <v>0</v>
      </c>
      <c r="M286" s="7">
        <f t="shared" si="52"/>
        <v>0</v>
      </c>
      <c r="N286" s="7">
        <f t="shared" si="53"/>
        <v>0</v>
      </c>
      <c r="O286" s="7">
        <f t="shared" si="54"/>
        <v>0</v>
      </c>
    </row>
    <row r="287" spans="1:15" x14ac:dyDescent="0.2">
      <c r="A287">
        <f t="shared" si="47"/>
        <v>283</v>
      </c>
      <c r="B287" s="7">
        <f t="shared" si="48"/>
        <v>0</v>
      </c>
      <c r="C287" s="7">
        <f t="shared" si="44"/>
        <v>0</v>
      </c>
      <c r="D287" s="7">
        <f t="shared" si="45"/>
        <v>0</v>
      </c>
      <c r="E287" s="7">
        <f>SUM(C$5:C287)</f>
        <v>0</v>
      </c>
      <c r="F287" s="7">
        <f>SUM(D$5:D287)</f>
        <v>0</v>
      </c>
      <c r="G287" s="7">
        <f>$D$1-'Amort Schedule - Flip'!F287</f>
        <v>0</v>
      </c>
      <c r="H287" s="11" t="e">
        <f t="shared" si="46"/>
        <v>#DIV/0!</v>
      </c>
      <c r="J287" s="127">
        <f t="shared" si="49"/>
        <v>0</v>
      </c>
      <c r="K287" s="127">
        <f t="shared" si="50"/>
        <v>0</v>
      </c>
      <c r="L287" s="7">
        <f t="shared" si="51"/>
        <v>0</v>
      </c>
      <c r="M287" s="7">
        <f t="shared" si="52"/>
        <v>0</v>
      </c>
      <c r="N287" s="7">
        <f t="shared" si="53"/>
        <v>0</v>
      </c>
      <c r="O287" s="7">
        <f t="shared" si="54"/>
        <v>0</v>
      </c>
    </row>
    <row r="288" spans="1:15" x14ac:dyDescent="0.2">
      <c r="A288">
        <f t="shared" si="47"/>
        <v>284</v>
      </c>
      <c r="B288" s="7">
        <f t="shared" si="48"/>
        <v>0</v>
      </c>
      <c r="C288" s="7">
        <f t="shared" si="44"/>
        <v>0</v>
      </c>
      <c r="D288" s="7">
        <f t="shared" si="45"/>
        <v>0</v>
      </c>
      <c r="E288" s="7">
        <f>SUM(C$5:C288)</f>
        <v>0</v>
      </c>
      <c r="F288" s="7">
        <f>SUM(D$5:D288)</f>
        <v>0</v>
      </c>
      <c r="G288" s="7">
        <f>$D$1-'Amort Schedule - Flip'!F288</f>
        <v>0</v>
      </c>
      <c r="H288" s="11" t="e">
        <f t="shared" si="46"/>
        <v>#DIV/0!</v>
      </c>
      <c r="J288" s="127">
        <f t="shared" si="49"/>
        <v>0</v>
      </c>
      <c r="K288" s="127">
        <f t="shared" si="50"/>
        <v>0</v>
      </c>
      <c r="L288" s="7">
        <f t="shared" si="51"/>
        <v>0</v>
      </c>
      <c r="M288" s="7">
        <f t="shared" si="52"/>
        <v>0</v>
      </c>
      <c r="N288" s="7">
        <f t="shared" si="53"/>
        <v>0</v>
      </c>
      <c r="O288" s="7">
        <f t="shared" si="54"/>
        <v>0</v>
      </c>
    </row>
    <row r="289" spans="1:15" x14ac:dyDescent="0.2">
      <c r="A289">
        <f t="shared" si="47"/>
        <v>285</v>
      </c>
      <c r="B289" s="7">
        <f t="shared" si="48"/>
        <v>0</v>
      </c>
      <c r="C289" s="7">
        <f t="shared" si="44"/>
        <v>0</v>
      </c>
      <c r="D289" s="7">
        <f t="shared" si="45"/>
        <v>0</v>
      </c>
      <c r="E289" s="7">
        <f>SUM(C$5:C289)</f>
        <v>0</v>
      </c>
      <c r="F289" s="7">
        <f>SUM(D$5:D289)</f>
        <v>0</v>
      </c>
      <c r="G289" s="7">
        <f>$D$1-'Amort Schedule - Flip'!F289</f>
        <v>0</v>
      </c>
      <c r="H289" s="11" t="e">
        <f t="shared" si="46"/>
        <v>#DIV/0!</v>
      </c>
      <c r="J289" s="127">
        <f t="shared" si="49"/>
        <v>0</v>
      </c>
      <c r="K289" s="127">
        <f t="shared" si="50"/>
        <v>0</v>
      </c>
      <c r="L289" s="7">
        <f t="shared" si="51"/>
        <v>0</v>
      </c>
      <c r="M289" s="7">
        <f t="shared" si="52"/>
        <v>0</v>
      </c>
      <c r="N289" s="7">
        <f t="shared" si="53"/>
        <v>0</v>
      </c>
      <c r="O289" s="7">
        <f t="shared" si="54"/>
        <v>0</v>
      </c>
    </row>
    <row r="290" spans="1:15" x14ac:dyDescent="0.2">
      <c r="A290">
        <f t="shared" si="47"/>
        <v>286</v>
      </c>
      <c r="B290" s="7">
        <f t="shared" si="48"/>
        <v>0</v>
      </c>
      <c r="C290" s="7">
        <f t="shared" si="44"/>
        <v>0</v>
      </c>
      <c r="D290" s="7">
        <f t="shared" si="45"/>
        <v>0</v>
      </c>
      <c r="E290" s="7">
        <f>SUM(C$5:C290)</f>
        <v>0</v>
      </c>
      <c r="F290" s="7">
        <f>SUM(D$5:D290)</f>
        <v>0</v>
      </c>
      <c r="G290" s="7">
        <f>$D$1-'Amort Schedule - Flip'!F290</f>
        <v>0</v>
      </c>
      <c r="H290" s="11" t="e">
        <f t="shared" si="46"/>
        <v>#DIV/0!</v>
      </c>
      <c r="J290" s="127">
        <f t="shared" si="49"/>
        <v>0</v>
      </c>
      <c r="K290" s="127">
        <f t="shared" si="50"/>
        <v>0</v>
      </c>
      <c r="L290" s="7">
        <f t="shared" si="51"/>
        <v>0</v>
      </c>
      <c r="M290" s="7">
        <f t="shared" si="52"/>
        <v>0</v>
      </c>
      <c r="N290" s="7">
        <f t="shared" si="53"/>
        <v>0</v>
      </c>
      <c r="O290" s="7">
        <f t="shared" si="54"/>
        <v>0</v>
      </c>
    </row>
    <row r="291" spans="1:15" x14ac:dyDescent="0.2">
      <c r="A291">
        <f t="shared" si="47"/>
        <v>287</v>
      </c>
      <c r="B291" s="7">
        <f t="shared" si="48"/>
        <v>0</v>
      </c>
      <c r="C291" s="7">
        <f t="shared" si="44"/>
        <v>0</v>
      </c>
      <c r="D291" s="7">
        <f t="shared" si="45"/>
        <v>0</v>
      </c>
      <c r="E291" s="7">
        <f>SUM(C$5:C291)</f>
        <v>0</v>
      </c>
      <c r="F291" s="7">
        <f>SUM(D$5:D291)</f>
        <v>0</v>
      </c>
      <c r="G291" s="7">
        <f>$D$1-'Amort Schedule - Flip'!F291</f>
        <v>0</v>
      </c>
      <c r="H291" s="11" t="e">
        <f t="shared" si="46"/>
        <v>#DIV/0!</v>
      </c>
      <c r="J291" s="127">
        <f t="shared" si="49"/>
        <v>0</v>
      </c>
      <c r="K291" s="127">
        <f t="shared" si="50"/>
        <v>0</v>
      </c>
      <c r="L291" s="7">
        <f t="shared" si="51"/>
        <v>0</v>
      </c>
      <c r="M291" s="7">
        <f t="shared" si="52"/>
        <v>0</v>
      </c>
      <c r="N291" s="7">
        <f t="shared" si="53"/>
        <v>0</v>
      </c>
      <c r="O291" s="7">
        <f t="shared" si="54"/>
        <v>0</v>
      </c>
    </row>
    <row r="292" spans="1:15" s="6" customFormat="1" x14ac:dyDescent="0.2">
      <c r="A292" s="6">
        <f t="shared" si="47"/>
        <v>288</v>
      </c>
      <c r="B292" s="128">
        <f t="shared" si="48"/>
        <v>0</v>
      </c>
      <c r="C292" s="128">
        <f t="shared" si="44"/>
        <v>0</v>
      </c>
      <c r="D292" s="128">
        <f t="shared" si="45"/>
        <v>0</v>
      </c>
      <c r="E292" s="128">
        <f>SUM(C$5:C292)</f>
        <v>0</v>
      </c>
      <c r="F292" s="128">
        <f>SUM(D$5:D292)</f>
        <v>0</v>
      </c>
      <c r="G292" s="128">
        <f>$D$1-'Amort Schedule - Flip'!F292</f>
        <v>0</v>
      </c>
      <c r="H292" s="124" t="e">
        <f t="shared" si="46"/>
        <v>#DIV/0!</v>
      </c>
      <c r="J292" s="127">
        <f t="shared" si="49"/>
        <v>0</v>
      </c>
      <c r="K292" s="127">
        <f t="shared" si="50"/>
        <v>0</v>
      </c>
      <c r="L292" s="7">
        <f t="shared" si="51"/>
        <v>0</v>
      </c>
      <c r="M292" s="7">
        <f t="shared" si="52"/>
        <v>0</v>
      </c>
      <c r="N292" s="7">
        <f t="shared" si="53"/>
        <v>0</v>
      </c>
      <c r="O292" s="7">
        <f t="shared" si="54"/>
        <v>0</v>
      </c>
    </row>
    <row r="293" spans="1:15" x14ac:dyDescent="0.2">
      <c r="A293">
        <f t="shared" si="47"/>
        <v>289</v>
      </c>
      <c r="B293" s="7">
        <f t="shared" si="48"/>
        <v>0</v>
      </c>
      <c r="C293" s="7">
        <f t="shared" si="44"/>
        <v>0</v>
      </c>
      <c r="D293" s="7">
        <f t="shared" si="45"/>
        <v>0</v>
      </c>
      <c r="E293" s="7">
        <f>SUM(C$5:C293)</f>
        <v>0</v>
      </c>
      <c r="F293" s="7">
        <f>SUM(D$5:D293)</f>
        <v>0</v>
      </c>
      <c r="G293" s="7">
        <f>$D$1-'Amort Schedule - Flip'!F293</f>
        <v>0</v>
      </c>
      <c r="H293" s="11" t="e">
        <f t="shared" si="46"/>
        <v>#DIV/0!</v>
      </c>
      <c r="J293" s="127">
        <f t="shared" si="49"/>
        <v>0</v>
      </c>
      <c r="K293" s="127">
        <f t="shared" si="50"/>
        <v>0</v>
      </c>
      <c r="L293" s="7">
        <f t="shared" si="51"/>
        <v>0</v>
      </c>
      <c r="M293" s="7">
        <f t="shared" si="52"/>
        <v>0</v>
      </c>
      <c r="N293" s="7">
        <f t="shared" si="53"/>
        <v>0</v>
      </c>
      <c r="O293" s="7">
        <f t="shared" si="54"/>
        <v>0</v>
      </c>
    </row>
    <row r="294" spans="1:15" x14ac:dyDescent="0.2">
      <c r="A294">
        <f t="shared" si="47"/>
        <v>290</v>
      </c>
      <c r="B294" s="7">
        <f t="shared" si="48"/>
        <v>0</v>
      </c>
      <c r="C294" s="7">
        <f t="shared" si="44"/>
        <v>0</v>
      </c>
      <c r="D294" s="7">
        <f t="shared" si="45"/>
        <v>0</v>
      </c>
      <c r="E294" s="7">
        <f>SUM(C$5:C294)</f>
        <v>0</v>
      </c>
      <c r="F294" s="7">
        <f>SUM(D$5:D294)</f>
        <v>0</v>
      </c>
      <c r="G294" s="7">
        <f>$D$1-'Amort Schedule - Flip'!F294</f>
        <v>0</v>
      </c>
      <c r="H294" s="11" t="e">
        <f t="shared" si="46"/>
        <v>#DIV/0!</v>
      </c>
      <c r="J294" s="127">
        <f t="shared" si="49"/>
        <v>0</v>
      </c>
      <c r="K294" s="127">
        <f t="shared" si="50"/>
        <v>0</v>
      </c>
      <c r="L294" s="7">
        <f t="shared" si="51"/>
        <v>0</v>
      </c>
      <c r="M294" s="7">
        <f t="shared" si="52"/>
        <v>0</v>
      </c>
      <c r="N294" s="7">
        <f t="shared" si="53"/>
        <v>0</v>
      </c>
      <c r="O294" s="7">
        <f t="shared" si="54"/>
        <v>0</v>
      </c>
    </row>
    <row r="295" spans="1:15" x14ac:dyDescent="0.2">
      <c r="A295">
        <f t="shared" si="47"/>
        <v>291</v>
      </c>
      <c r="B295" s="7">
        <f t="shared" si="48"/>
        <v>0</v>
      </c>
      <c r="C295" s="7">
        <f t="shared" si="44"/>
        <v>0</v>
      </c>
      <c r="D295" s="7">
        <f t="shared" si="45"/>
        <v>0</v>
      </c>
      <c r="E295" s="7">
        <f>SUM(C$5:C295)</f>
        <v>0</v>
      </c>
      <c r="F295" s="7">
        <f>SUM(D$5:D295)</f>
        <v>0</v>
      </c>
      <c r="G295" s="7">
        <f>$D$1-'Amort Schedule - Flip'!F295</f>
        <v>0</v>
      </c>
      <c r="H295" s="11" t="e">
        <f t="shared" si="46"/>
        <v>#DIV/0!</v>
      </c>
      <c r="J295" s="127">
        <f t="shared" si="49"/>
        <v>0</v>
      </c>
      <c r="K295" s="127">
        <f t="shared" si="50"/>
        <v>0</v>
      </c>
      <c r="L295" s="7">
        <f t="shared" si="51"/>
        <v>0</v>
      </c>
      <c r="M295" s="7">
        <f t="shared" si="52"/>
        <v>0</v>
      </c>
      <c r="N295" s="7">
        <f t="shared" si="53"/>
        <v>0</v>
      </c>
      <c r="O295" s="7">
        <f t="shared" si="54"/>
        <v>0</v>
      </c>
    </row>
    <row r="296" spans="1:15" x14ac:dyDescent="0.2">
      <c r="A296">
        <f t="shared" si="47"/>
        <v>292</v>
      </c>
      <c r="B296" s="7">
        <f t="shared" si="48"/>
        <v>0</v>
      </c>
      <c r="C296" s="7">
        <f t="shared" si="44"/>
        <v>0</v>
      </c>
      <c r="D296" s="7">
        <f t="shared" si="45"/>
        <v>0</v>
      </c>
      <c r="E296" s="7">
        <f>SUM(C$5:C296)</f>
        <v>0</v>
      </c>
      <c r="F296" s="7">
        <f>SUM(D$5:D296)</f>
        <v>0</v>
      </c>
      <c r="G296" s="7">
        <f>$D$1-'Amort Schedule - Flip'!F296</f>
        <v>0</v>
      </c>
      <c r="H296" s="11" t="e">
        <f t="shared" si="46"/>
        <v>#DIV/0!</v>
      </c>
      <c r="J296" s="127">
        <f t="shared" si="49"/>
        <v>0</v>
      </c>
      <c r="K296" s="127">
        <f t="shared" si="50"/>
        <v>0</v>
      </c>
      <c r="L296" s="7">
        <f t="shared" si="51"/>
        <v>0</v>
      </c>
      <c r="M296" s="7">
        <f t="shared" si="52"/>
        <v>0</v>
      </c>
      <c r="N296" s="7">
        <f t="shared" si="53"/>
        <v>0</v>
      </c>
      <c r="O296" s="7">
        <f t="shared" si="54"/>
        <v>0</v>
      </c>
    </row>
    <row r="297" spans="1:15" x14ac:dyDescent="0.2">
      <c r="A297">
        <f t="shared" si="47"/>
        <v>293</v>
      </c>
      <c r="B297" s="7">
        <f t="shared" si="48"/>
        <v>0</v>
      </c>
      <c r="C297" s="7">
        <f t="shared" si="44"/>
        <v>0</v>
      </c>
      <c r="D297" s="7">
        <f t="shared" si="45"/>
        <v>0</v>
      </c>
      <c r="E297" s="7">
        <f>SUM(C$5:C297)</f>
        <v>0</v>
      </c>
      <c r="F297" s="7">
        <f>SUM(D$5:D297)</f>
        <v>0</v>
      </c>
      <c r="G297" s="7">
        <f>$D$1-'Amort Schedule - Flip'!F297</f>
        <v>0</v>
      </c>
      <c r="H297" s="11" t="e">
        <f t="shared" si="46"/>
        <v>#DIV/0!</v>
      </c>
      <c r="J297" s="127">
        <f t="shared" si="49"/>
        <v>0</v>
      </c>
      <c r="K297" s="127">
        <f t="shared" si="50"/>
        <v>0</v>
      </c>
      <c r="L297" s="7">
        <f t="shared" si="51"/>
        <v>0</v>
      </c>
      <c r="M297" s="7">
        <f t="shared" si="52"/>
        <v>0</v>
      </c>
      <c r="N297" s="7">
        <f t="shared" si="53"/>
        <v>0</v>
      </c>
      <c r="O297" s="7">
        <f t="shared" si="54"/>
        <v>0</v>
      </c>
    </row>
    <row r="298" spans="1:15" x14ac:dyDescent="0.2">
      <c r="A298">
        <f t="shared" si="47"/>
        <v>294</v>
      </c>
      <c r="B298" s="7">
        <f t="shared" si="48"/>
        <v>0</v>
      </c>
      <c r="C298" s="7">
        <f t="shared" si="44"/>
        <v>0</v>
      </c>
      <c r="D298" s="7">
        <f t="shared" si="45"/>
        <v>0</v>
      </c>
      <c r="E298" s="7">
        <f>SUM(C$5:C298)</f>
        <v>0</v>
      </c>
      <c r="F298" s="7">
        <f>SUM(D$5:D298)</f>
        <v>0</v>
      </c>
      <c r="G298" s="7">
        <f>$D$1-'Amort Schedule - Flip'!F298</f>
        <v>0</v>
      </c>
      <c r="H298" s="11" t="e">
        <f t="shared" si="46"/>
        <v>#DIV/0!</v>
      </c>
      <c r="J298" s="127">
        <f t="shared" si="49"/>
        <v>0</v>
      </c>
      <c r="K298" s="127">
        <f t="shared" si="50"/>
        <v>0</v>
      </c>
      <c r="L298" s="7">
        <f t="shared" si="51"/>
        <v>0</v>
      </c>
      <c r="M298" s="7">
        <f t="shared" si="52"/>
        <v>0</v>
      </c>
      <c r="N298" s="7">
        <f t="shared" si="53"/>
        <v>0</v>
      </c>
      <c r="O298" s="7">
        <f t="shared" si="54"/>
        <v>0</v>
      </c>
    </row>
    <row r="299" spans="1:15" x14ac:dyDescent="0.2">
      <c r="A299">
        <f t="shared" si="47"/>
        <v>295</v>
      </c>
      <c r="B299" s="7">
        <f t="shared" si="48"/>
        <v>0</v>
      </c>
      <c r="C299" s="7">
        <f t="shared" si="44"/>
        <v>0</v>
      </c>
      <c r="D299" s="7">
        <f t="shared" si="45"/>
        <v>0</v>
      </c>
      <c r="E299" s="7">
        <f>SUM(C$5:C299)</f>
        <v>0</v>
      </c>
      <c r="F299" s="7">
        <f>SUM(D$5:D299)</f>
        <v>0</v>
      </c>
      <c r="G299" s="7">
        <f>$D$1-'Amort Schedule - Flip'!F299</f>
        <v>0</v>
      </c>
      <c r="H299" s="11" t="e">
        <f t="shared" si="46"/>
        <v>#DIV/0!</v>
      </c>
      <c r="J299" s="127">
        <f t="shared" si="49"/>
        <v>0</v>
      </c>
      <c r="K299" s="127">
        <f t="shared" si="50"/>
        <v>0</v>
      </c>
      <c r="L299" s="7">
        <f t="shared" si="51"/>
        <v>0</v>
      </c>
      <c r="M299" s="7">
        <f t="shared" si="52"/>
        <v>0</v>
      </c>
      <c r="N299" s="7">
        <f t="shared" si="53"/>
        <v>0</v>
      </c>
      <c r="O299" s="7">
        <f t="shared" si="54"/>
        <v>0</v>
      </c>
    </row>
    <row r="300" spans="1:15" x14ac:dyDescent="0.2">
      <c r="A300">
        <f t="shared" si="47"/>
        <v>296</v>
      </c>
      <c r="B300" s="7">
        <f t="shared" si="48"/>
        <v>0</v>
      </c>
      <c r="C300" s="7">
        <f t="shared" si="44"/>
        <v>0</v>
      </c>
      <c r="D300" s="7">
        <f t="shared" si="45"/>
        <v>0</v>
      </c>
      <c r="E300" s="7">
        <f>SUM(C$5:C300)</f>
        <v>0</v>
      </c>
      <c r="F300" s="7">
        <f>SUM(D$5:D300)</f>
        <v>0</v>
      </c>
      <c r="G300" s="7">
        <f>$D$1-'Amort Schedule - Flip'!F300</f>
        <v>0</v>
      </c>
      <c r="H300" s="11" t="e">
        <f t="shared" si="46"/>
        <v>#DIV/0!</v>
      </c>
      <c r="J300" s="127">
        <f t="shared" si="49"/>
        <v>0</v>
      </c>
      <c r="K300" s="127">
        <f t="shared" si="50"/>
        <v>0</v>
      </c>
      <c r="L300" s="7">
        <f t="shared" si="51"/>
        <v>0</v>
      </c>
      <c r="M300" s="7">
        <f t="shared" si="52"/>
        <v>0</v>
      </c>
      <c r="N300" s="7">
        <f t="shared" si="53"/>
        <v>0</v>
      </c>
      <c r="O300" s="7">
        <f t="shared" si="54"/>
        <v>0</v>
      </c>
    </row>
    <row r="301" spans="1:15" x14ac:dyDescent="0.2">
      <c r="A301">
        <f t="shared" si="47"/>
        <v>297</v>
      </c>
      <c r="B301" s="7">
        <f t="shared" si="48"/>
        <v>0</v>
      </c>
      <c r="C301" s="7">
        <f t="shared" si="44"/>
        <v>0</v>
      </c>
      <c r="D301" s="7">
        <f t="shared" si="45"/>
        <v>0</v>
      </c>
      <c r="E301" s="7">
        <f>SUM(C$5:C301)</f>
        <v>0</v>
      </c>
      <c r="F301" s="7">
        <f>SUM(D$5:D301)</f>
        <v>0</v>
      </c>
      <c r="G301" s="7">
        <f>$D$1-'Amort Schedule - Flip'!F301</f>
        <v>0</v>
      </c>
      <c r="H301" s="11" t="e">
        <f t="shared" si="46"/>
        <v>#DIV/0!</v>
      </c>
      <c r="J301" s="127">
        <f t="shared" si="49"/>
        <v>0</v>
      </c>
      <c r="K301" s="127">
        <f t="shared" si="50"/>
        <v>0</v>
      </c>
      <c r="L301" s="7">
        <f t="shared" si="51"/>
        <v>0</v>
      </c>
      <c r="M301" s="7">
        <f t="shared" si="52"/>
        <v>0</v>
      </c>
      <c r="N301" s="7">
        <f t="shared" si="53"/>
        <v>0</v>
      </c>
      <c r="O301" s="7">
        <f t="shared" si="54"/>
        <v>0</v>
      </c>
    </row>
    <row r="302" spans="1:15" x14ac:dyDescent="0.2">
      <c r="A302">
        <f t="shared" si="47"/>
        <v>298</v>
      </c>
      <c r="B302" s="7">
        <f t="shared" si="48"/>
        <v>0</v>
      </c>
      <c r="C302" s="7">
        <f t="shared" si="44"/>
        <v>0</v>
      </c>
      <c r="D302" s="7">
        <f t="shared" si="45"/>
        <v>0</v>
      </c>
      <c r="E302" s="7">
        <f>SUM(C$5:C302)</f>
        <v>0</v>
      </c>
      <c r="F302" s="7">
        <f>SUM(D$5:D302)</f>
        <v>0</v>
      </c>
      <c r="G302" s="7">
        <f>$D$1-'Amort Schedule - Flip'!F302</f>
        <v>0</v>
      </c>
      <c r="H302" s="11" t="e">
        <f t="shared" si="46"/>
        <v>#DIV/0!</v>
      </c>
      <c r="J302" s="127">
        <f t="shared" si="49"/>
        <v>0</v>
      </c>
      <c r="K302" s="127">
        <f t="shared" si="50"/>
        <v>0</v>
      </c>
      <c r="L302" s="7">
        <f t="shared" si="51"/>
        <v>0</v>
      </c>
      <c r="M302" s="7">
        <f t="shared" si="52"/>
        <v>0</v>
      </c>
      <c r="N302" s="7">
        <f t="shared" si="53"/>
        <v>0</v>
      </c>
      <c r="O302" s="7">
        <f t="shared" si="54"/>
        <v>0</v>
      </c>
    </row>
    <row r="303" spans="1:15" x14ac:dyDescent="0.2">
      <c r="A303">
        <f t="shared" si="47"/>
        <v>299</v>
      </c>
      <c r="B303" s="7">
        <f t="shared" si="48"/>
        <v>0</v>
      </c>
      <c r="C303" s="7">
        <f t="shared" si="44"/>
        <v>0</v>
      </c>
      <c r="D303" s="7">
        <f t="shared" si="45"/>
        <v>0</v>
      </c>
      <c r="E303" s="7">
        <f>SUM(C$5:C303)</f>
        <v>0</v>
      </c>
      <c r="F303" s="7">
        <f>SUM(D$5:D303)</f>
        <v>0</v>
      </c>
      <c r="G303" s="7">
        <f>$D$1-'Amort Schedule - Flip'!F303</f>
        <v>0</v>
      </c>
      <c r="H303" s="11" t="e">
        <f t="shared" si="46"/>
        <v>#DIV/0!</v>
      </c>
      <c r="J303" s="127">
        <f t="shared" si="49"/>
        <v>0</v>
      </c>
      <c r="K303" s="127">
        <f t="shared" si="50"/>
        <v>0</v>
      </c>
      <c r="L303" s="7">
        <f t="shared" si="51"/>
        <v>0</v>
      </c>
      <c r="M303" s="7">
        <f t="shared" si="52"/>
        <v>0</v>
      </c>
      <c r="N303" s="7">
        <f t="shared" si="53"/>
        <v>0</v>
      </c>
      <c r="O303" s="7">
        <f t="shared" si="54"/>
        <v>0</v>
      </c>
    </row>
    <row r="304" spans="1:15" s="6" customFormat="1" x14ac:dyDescent="0.2">
      <c r="A304" s="6">
        <f t="shared" si="47"/>
        <v>300</v>
      </c>
      <c r="B304" s="128">
        <f t="shared" si="48"/>
        <v>0</v>
      </c>
      <c r="C304" s="128">
        <f t="shared" si="44"/>
        <v>0</v>
      </c>
      <c r="D304" s="128">
        <f t="shared" si="45"/>
        <v>0</v>
      </c>
      <c r="E304" s="128">
        <f>SUM(C$5:C304)</f>
        <v>0</v>
      </c>
      <c r="F304" s="128">
        <f>SUM(D$5:D304)</f>
        <v>0</v>
      </c>
      <c r="G304" s="128">
        <f>$D$1-'Amort Schedule - Flip'!F304</f>
        <v>0</v>
      </c>
      <c r="H304" s="124" t="e">
        <f t="shared" si="46"/>
        <v>#DIV/0!</v>
      </c>
      <c r="J304" s="127">
        <f t="shared" si="49"/>
        <v>0</v>
      </c>
      <c r="K304" s="127">
        <f t="shared" si="50"/>
        <v>0</v>
      </c>
      <c r="L304" s="7">
        <f t="shared" si="51"/>
        <v>0</v>
      </c>
      <c r="M304" s="7">
        <f t="shared" si="52"/>
        <v>0</v>
      </c>
      <c r="N304" s="7">
        <f t="shared" si="53"/>
        <v>0</v>
      </c>
      <c r="O304" s="7">
        <f t="shared" si="54"/>
        <v>0</v>
      </c>
    </row>
    <row r="305" spans="1:15" x14ac:dyDescent="0.2">
      <c r="A305">
        <f t="shared" si="47"/>
        <v>301</v>
      </c>
      <c r="B305" s="7">
        <f t="shared" si="48"/>
        <v>0</v>
      </c>
      <c r="C305" s="7">
        <f t="shared" si="44"/>
        <v>0</v>
      </c>
      <c r="D305" s="7">
        <f t="shared" si="45"/>
        <v>0</v>
      </c>
      <c r="E305" s="7">
        <f>SUM(C$5:C305)</f>
        <v>0</v>
      </c>
      <c r="F305" s="7">
        <f>SUM(D$5:D305)</f>
        <v>0</v>
      </c>
      <c r="G305" s="7">
        <f>$D$1-'Amort Schedule - Flip'!F305</f>
        <v>0</v>
      </c>
      <c r="H305" s="11" t="e">
        <f t="shared" si="46"/>
        <v>#DIV/0!</v>
      </c>
      <c r="J305" s="127">
        <f t="shared" si="49"/>
        <v>0</v>
      </c>
      <c r="K305" s="127">
        <f t="shared" si="50"/>
        <v>0</v>
      </c>
      <c r="L305" s="7">
        <f t="shared" si="51"/>
        <v>0</v>
      </c>
      <c r="M305" s="7">
        <f t="shared" si="52"/>
        <v>0</v>
      </c>
      <c r="N305" s="7">
        <f t="shared" si="53"/>
        <v>0</v>
      </c>
      <c r="O305" s="7">
        <f t="shared" si="54"/>
        <v>0</v>
      </c>
    </row>
    <row r="306" spans="1:15" x14ac:dyDescent="0.2">
      <c r="A306">
        <f t="shared" si="47"/>
        <v>302</v>
      </c>
      <c r="B306" s="7">
        <f t="shared" si="48"/>
        <v>0</v>
      </c>
      <c r="C306" s="7">
        <f t="shared" si="44"/>
        <v>0</v>
      </c>
      <c r="D306" s="7">
        <f t="shared" si="45"/>
        <v>0</v>
      </c>
      <c r="E306" s="7">
        <f>SUM(C$5:C306)</f>
        <v>0</v>
      </c>
      <c r="F306" s="7">
        <f>SUM(D$5:D306)</f>
        <v>0</v>
      </c>
      <c r="G306" s="7">
        <f>$D$1-'Amort Schedule - Flip'!F306</f>
        <v>0</v>
      </c>
      <c r="H306" s="11" t="e">
        <f t="shared" si="46"/>
        <v>#DIV/0!</v>
      </c>
      <c r="J306" s="127">
        <f t="shared" si="49"/>
        <v>0</v>
      </c>
      <c r="K306" s="127">
        <f t="shared" si="50"/>
        <v>0</v>
      </c>
      <c r="L306" s="7">
        <f t="shared" si="51"/>
        <v>0</v>
      </c>
      <c r="M306" s="7">
        <f t="shared" si="52"/>
        <v>0</v>
      </c>
      <c r="N306" s="7">
        <f t="shared" si="53"/>
        <v>0</v>
      </c>
      <c r="O306" s="7">
        <f t="shared" si="54"/>
        <v>0</v>
      </c>
    </row>
    <row r="307" spans="1:15" x14ac:dyDescent="0.2">
      <c r="A307">
        <f t="shared" si="47"/>
        <v>303</v>
      </c>
      <c r="B307" s="7">
        <f t="shared" si="48"/>
        <v>0</v>
      </c>
      <c r="C307" s="7">
        <f t="shared" si="44"/>
        <v>0</v>
      </c>
      <c r="D307" s="7">
        <f t="shared" si="45"/>
        <v>0</v>
      </c>
      <c r="E307" s="7">
        <f>SUM(C$5:C307)</f>
        <v>0</v>
      </c>
      <c r="F307" s="7">
        <f>SUM(D$5:D307)</f>
        <v>0</v>
      </c>
      <c r="G307" s="7">
        <f>$D$1-'Amort Schedule - Flip'!F307</f>
        <v>0</v>
      </c>
      <c r="H307" s="11" t="e">
        <f t="shared" si="46"/>
        <v>#DIV/0!</v>
      </c>
      <c r="J307" s="127">
        <f t="shared" si="49"/>
        <v>0</v>
      </c>
      <c r="K307" s="127">
        <f t="shared" si="50"/>
        <v>0</v>
      </c>
      <c r="L307" s="7">
        <f t="shared" si="51"/>
        <v>0</v>
      </c>
      <c r="M307" s="7">
        <f t="shared" si="52"/>
        <v>0</v>
      </c>
      <c r="N307" s="7">
        <f t="shared" si="53"/>
        <v>0</v>
      </c>
      <c r="O307" s="7">
        <f t="shared" si="54"/>
        <v>0</v>
      </c>
    </row>
    <row r="308" spans="1:15" x14ac:dyDescent="0.2">
      <c r="A308">
        <f t="shared" si="47"/>
        <v>304</v>
      </c>
      <c r="B308" s="7">
        <f t="shared" si="48"/>
        <v>0</v>
      </c>
      <c r="C308" s="7">
        <f t="shared" si="44"/>
        <v>0</v>
      </c>
      <c r="D308" s="7">
        <f t="shared" si="45"/>
        <v>0</v>
      </c>
      <c r="E308" s="7">
        <f>SUM(C$5:C308)</f>
        <v>0</v>
      </c>
      <c r="F308" s="7">
        <f>SUM(D$5:D308)</f>
        <v>0</v>
      </c>
      <c r="G308" s="7">
        <f>$D$1-'Amort Schedule - Flip'!F308</f>
        <v>0</v>
      </c>
      <c r="H308" s="11" t="e">
        <f t="shared" si="46"/>
        <v>#DIV/0!</v>
      </c>
      <c r="J308" s="127">
        <f t="shared" si="49"/>
        <v>0</v>
      </c>
      <c r="K308" s="127">
        <f t="shared" si="50"/>
        <v>0</v>
      </c>
      <c r="L308" s="7">
        <f t="shared" si="51"/>
        <v>0</v>
      </c>
      <c r="M308" s="7">
        <f t="shared" si="52"/>
        <v>0</v>
      </c>
      <c r="N308" s="7">
        <f t="shared" si="53"/>
        <v>0</v>
      </c>
      <c r="O308" s="7">
        <f t="shared" si="54"/>
        <v>0</v>
      </c>
    </row>
    <row r="309" spans="1:15" x14ac:dyDescent="0.2">
      <c r="A309">
        <f t="shared" si="47"/>
        <v>305</v>
      </c>
      <c r="B309" s="7">
        <f t="shared" si="48"/>
        <v>0</v>
      </c>
      <c r="C309" s="7">
        <f t="shared" si="44"/>
        <v>0</v>
      </c>
      <c r="D309" s="7">
        <f t="shared" si="45"/>
        <v>0</v>
      </c>
      <c r="E309" s="7">
        <f>SUM(C$5:C309)</f>
        <v>0</v>
      </c>
      <c r="F309" s="7">
        <f>SUM(D$5:D309)</f>
        <v>0</v>
      </c>
      <c r="G309" s="7">
        <f>$D$1-'Amort Schedule - Flip'!F309</f>
        <v>0</v>
      </c>
      <c r="H309" s="11" t="e">
        <f t="shared" si="46"/>
        <v>#DIV/0!</v>
      </c>
      <c r="J309" s="127">
        <f t="shared" si="49"/>
        <v>0</v>
      </c>
      <c r="K309" s="127">
        <f t="shared" si="50"/>
        <v>0</v>
      </c>
      <c r="L309" s="7">
        <f t="shared" si="51"/>
        <v>0</v>
      </c>
      <c r="M309" s="7">
        <f t="shared" si="52"/>
        <v>0</v>
      </c>
      <c r="N309" s="7">
        <f t="shared" si="53"/>
        <v>0</v>
      </c>
      <c r="O309" s="7">
        <f t="shared" si="54"/>
        <v>0</v>
      </c>
    </row>
    <row r="310" spans="1:15" x14ac:dyDescent="0.2">
      <c r="A310">
        <f t="shared" si="47"/>
        <v>306</v>
      </c>
      <c r="B310" s="7">
        <f t="shared" si="48"/>
        <v>0</v>
      </c>
      <c r="C310" s="7">
        <f t="shared" si="44"/>
        <v>0</v>
      </c>
      <c r="D310" s="7">
        <f t="shared" si="45"/>
        <v>0</v>
      </c>
      <c r="E310" s="7">
        <f>SUM(C$5:C310)</f>
        <v>0</v>
      </c>
      <c r="F310" s="7">
        <f>SUM(D$5:D310)</f>
        <v>0</v>
      </c>
      <c r="G310" s="7">
        <f>$D$1-'Amort Schedule - Flip'!F310</f>
        <v>0</v>
      </c>
      <c r="H310" s="11" t="e">
        <f t="shared" si="46"/>
        <v>#DIV/0!</v>
      </c>
      <c r="J310" s="127">
        <f t="shared" si="49"/>
        <v>0</v>
      </c>
      <c r="K310" s="127">
        <f t="shared" si="50"/>
        <v>0</v>
      </c>
      <c r="L310" s="7">
        <f t="shared" si="51"/>
        <v>0</v>
      </c>
      <c r="M310" s="7">
        <f t="shared" si="52"/>
        <v>0</v>
      </c>
      <c r="N310" s="7">
        <f t="shared" si="53"/>
        <v>0</v>
      </c>
      <c r="O310" s="7">
        <f t="shared" si="54"/>
        <v>0</v>
      </c>
    </row>
    <row r="311" spans="1:15" x14ac:dyDescent="0.2">
      <c r="A311">
        <f t="shared" si="47"/>
        <v>307</v>
      </c>
      <c r="B311" s="7">
        <f t="shared" si="48"/>
        <v>0</v>
      </c>
      <c r="C311" s="7">
        <f t="shared" si="44"/>
        <v>0</v>
      </c>
      <c r="D311" s="7">
        <f t="shared" si="45"/>
        <v>0</v>
      </c>
      <c r="E311" s="7">
        <f>SUM(C$5:C311)</f>
        <v>0</v>
      </c>
      <c r="F311" s="7">
        <f>SUM(D$5:D311)</f>
        <v>0</v>
      </c>
      <c r="G311" s="7">
        <f>$D$1-'Amort Schedule - Flip'!F311</f>
        <v>0</v>
      </c>
      <c r="H311" s="11" t="e">
        <f t="shared" si="46"/>
        <v>#DIV/0!</v>
      </c>
      <c r="J311" s="127">
        <f t="shared" si="49"/>
        <v>0</v>
      </c>
      <c r="K311" s="127">
        <f t="shared" si="50"/>
        <v>0</v>
      </c>
      <c r="L311" s="7">
        <f t="shared" si="51"/>
        <v>0</v>
      </c>
      <c r="M311" s="7">
        <f t="shared" si="52"/>
        <v>0</v>
      </c>
      <c r="N311" s="7">
        <f t="shared" si="53"/>
        <v>0</v>
      </c>
      <c r="O311" s="7">
        <f t="shared" si="54"/>
        <v>0</v>
      </c>
    </row>
    <row r="312" spans="1:15" x14ac:dyDescent="0.2">
      <c r="A312">
        <f t="shared" si="47"/>
        <v>308</v>
      </c>
      <c r="B312" s="7">
        <f t="shared" si="48"/>
        <v>0</v>
      </c>
      <c r="C312" s="7">
        <f t="shared" si="44"/>
        <v>0</v>
      </c>
      <c r="D312" s="7">
        <f t="shared" si="45"/>
        <v>0</v>
      </c>
      <c r="E312" s="7">
        <f>SUM(C$5:C312)</f>
        <v>0</v>
      </c>
      <c r="F312" s="7">
        <f>SUM(D$5:D312)</f>
        <v>0</v>
      </c>
      <c r="G312" s="7">
        <f>$D$1-'Amort Schedule - Flip'!F312</f>
        <v>0</v>
      </c>
      <c r="H312" s="11" t="e">
        <f t="shared" si="46"/>
        <v>#DIV/0!</v>
      </c>
      <c r="J312" s="127">
        <f t="shared" si="49"/>
        <v>0</v>
      </c>
      <c r="K312" s="127">
        <f t="shared" si="50"/>
        <v>0</v>
      </c>
      <c r="L312" s="7">
        <f t="shared" si="51"/>
        <v>0</v>
      </c>
      <c r="M312" s="7">
        <f t="shared" si="52"/>
        <v>0</v>
      </c>
      <c r="N312" s="7">
        <f t="shared" si="53"/>
        <v>0</v>
      </c>
      <c r="O312" s="7">
        <f t="shared" si="54"/>
        <v>0</v>
      </c>
    </row>
    <row r="313" spans="1:15" x14ac:dyDescent="0.2">
      <c r="A313">
        <f t="shared" si="47"/>
        <v>309</v>
      </c>
      <c r="B313" s="7">
        <f t="shared" si="48"/>
        <v>0</v>
      </c>
      <c r="C313" s="7">
        <f t="shared" si="44"/>
        <v>0</v>
      </c>
      <c r="D313" s="7">
        <f t="shared" si="45"/>
        <v>0</v>
      </c>
      <c r="E313" s="7">
        <f>SUM(C$5:C313)</f>
        <v>0</v>
      </c>
      <c r="F313" s="7">
        <f>SUM(D$5:D313)</f>
        <v>0</v>
      </c>
      <c r="G313" s="7">
        <f>$D$1-'Amort Schedule - Flip'!F313</f>
        <v>0</v>
      </c>
      <c r="H313" s="11" t="e">
        <f t="shared" si="46"/>
        <v>#DIV/0!</v>
      </c>
      <c r="J313" s="127">
        <f t="shared" si="49"/>
        <v>0</v>
      </c>
      <c r="K313" s="127">
        <f t="shared" si="50"/>
        <v>0</v>
      </c>
      <c r="L313" s="7">
        <f t="shared" si="51"/>
        <v>0</v>
      </c>
      <c r="M313" s="7">
        <f t="shared" si="52"/>
        <v>0</v>
      </c>
      <c r="N313" s="7">
        <f t="shared" si="53"/>
        <v>0</v>
      </c>
      <c r="O313" s="7">
        <f t="shared" si="54"/>
        <v>0</v>
      </c>
    </row>
    <row r="314" spans="1:15" x14ac:dyDescent="0.2">
      <c r="A314">
        <f t="shared" si="47"/>
        <v>310</v>
      </c>
      <c r="B314" s="7">
        <f t="shared" si="48"/>
        <v>0</v>
      </c>
      <c r="C314" s="7">
        <f t="shared" si="44"/>
        <v>0</v>
      </c>
      <c r="D314" s="7">
        <f t="shared" si="45"/>
        <v>0</v>
      </c>
      <c r="E314" s="7">
        <f>SUM(C$5:C314)</f>
        <v>0</v>
      </c>
      <c r="F314" s="7">
        <f>SUM(D$5:D314)</f>
        <v>0</v>
      </c>
      <c r="G314" s="7">
        <f>$D$1-'Amort Schedule - Flip'!F314</f>
        <v>0</v>
      </c>
      <c r="H314" s="11" t="e">
        <f t="shared" si="46"/>
        <v>#DIV/0!</v>
      </c>
      <c r="J314" s="127">
        <f t="shared" si="49"/>
        <v>0</v>
      </c>
      <c r="K314" s="127">
        <f t="shared" si="50"/>
        <v>0</v>
      </c>
      <c r="L314" s="7">
        <f t="shared" si="51"/>
        <v>0</v>
      </c>
      <c r="M314" s="7">
        <f t="shared" si="52"/>
        <v>0</v>
      </c>
      <c r="N314" s="7">
        <f t="shared" si="53"/>
        <v>0</v>
      </c>
      <c r="O314" s="7">
        <f t="shared" si="54"/>
        <v>0</v>
      </c>
    </row>
    <row r="315" spans="1:15" x14ac:dyDescent="0.2">
      <c r="A315">
        <f t="shared" si="47"/>
        <v>311</v>
      </c>
      <c r="B315" s="7">
        <f t="shared" si="48"/>
        <v>0</v>
      </c>
      <c r="C315" s="7">
        <f t="shared" si="44"/>
        <v>0</v>
      </c>
      <c r="D315" s="7">
        <f t="shared" si="45"/>
        <v>0</v>
      </c>
      <c r="E315" s="7">
        <f>SUM(C$5:C315)</f>
        <v>0</v>
      </c>
      <c r="F315" s="7">
        <f>SUM(D$5:D315)</f>
        <v>0</v>
      </c>
      <c r="G315" s="7">
        <f>$D$1-'Amort Schedule - Flip'!F315</f>
        <v>0</v>
      </c>
      <c r="H315" s="11" t="e">
        <f t="shared" si="46"/>
        <v>#DIV/0!</v>
      </c>
      <c r="J315" s="127">
        <f t="shared" si="49"/>
        <v>0</v>
      </c>
      <c r="K315" s="127">
        <f t="shared" si="50"/>
        <v>0</v>
      </c>
      <c r="L315" s="7">
        <f t="shared" si="51"/>
        <v>0</v>
      </c>
      <c r="M315" s="7">
        <f t="shared" si="52"/>
        <v>0</v>
      </c>
      <c r="N315" s="7">
        <f t="shared" si="53"/>
        <v>0</v>
      </c>
      <c r="O315" s="7">
        <f t="shared" si="54"/>
        <v>0</v>
      </c>
    </row>
    <row r="316" spans="1:15" s="6" customFormat="1" x14ac:dyDescent="0.2">
      <c r="A316" s="6">
        <f t="shared" si="47"/>
        <v>312</v>
      </c>
      <c r="B316" s="128">
        <f t="shared" si="48"/>
        <v>0</v>
      </c>
      <c r="C316" s="128">
        <f t="shared" si="44"/>
        <v>0</v>
      </c>
      <c r="D316" s="128">
        <f t="shared" si="45"/>
        <v>0</v>
      </c>
      <c r="E316" s="128">
        <f>SUM(C$5:C316)</f>
        <v>0</v>
      </c>
      <c r="F316" s="128">
        <f>SUM(D$5:D316)</f>
        <v>0</v>
      </c>
      <c r="G316" s="128">
        <f>$D$1-'Amort Schedule - Flip'!F316</f>
        <v>0</v>
      </c>
      <c r="H316" s="124" t="e">
        <f t="shared" si="46"/>
        <v>#DIV/0!</v>
      </c>
      <c r="J316" s="127">
        <f t="shared" si="49"/>
        <v>0</v>
      </c>
      <c r="K316" s="127">
        <f t="shared" si="50"/>
        <v>0</v>
      </c>
      <c r="L316" s="7">
        <f t="shared" si="51"/>
        <v>0</v>
      </c>
      <c r="M316" s="7">
        <f t="shared" si="52"/>
        <v>0</v>
      </c>
      <c r="N316" s="7">
        <f t="shared" si="53"/>
        <v>0</v>
      </c>
      <c r="O316" s="7">
        <f t="shared" si="54"/>
        <v>0</v>
      </c>
    </row>
    <row r="317" spans="1:15" x14ac:dyDescent="0.2">
      <c r="A317">
        <f t="shared" si="47"/>
        <v>313</v>
      </c>
      <c r="B317" s="7">
        <f t="shared" si="48"/>
        <v>0</v>
      </c>
      <c r="C317" s="7">
        <f t="shared" si="44"/>
        <v>0</v>
      </c>
      <c r="D317" s="7">
        <f t="shared" si="45"/>
        <v>0</v>
      </c>
      <c r="E317" s="7">
        <f>SUM(C$5:C317)</f>
        <v>0</v>
      </c>
      <c r="F317" s="7">
        <f>SUM(D$5:D317)</f>
        <v>0</v>
      </c>
      <c r="G317" s="7">
        <f>$D$1-'Amort Schedule - Flip'!F317</f>
        <v>0</v>
      </c>
      <c r="H317" s="11" t="e">
        <f t="shared" si="46"/>
        <v>#DIV/0!</v>
      </c>
      <c r="J317" s="127">
        <f t="shared" si="49"/>
        <v>0</v>
      </c>
      <c r="K317" s="127">
        <f t="shared" si="50"/>
        <v>0</v>
      </c>
      <c r="L317" s="7">
        <f t="shared" si="51"/>
        <v>0</v>
      </c>
      <c r="M317" s="7">
        <f t="shared" si="52"/>
        <v>0</v>
      </c>
      <c r="N317" s="7">
        <f t="shared" si="53"/>
        <v>0</v>
      </c>
      <c r="O317" s="7">
        <f t="shared" si="54"/>
        <v>0</v>
      </c>
    </row>
    <row r="318" spans="1:15" x14ac:dyDescent="0.2">
      <c r="A318">
        <f t="shared" si="47"/>
        <v>314</v>
      </c>
      <c r="B318" s="7">
        <f t="shared" si="48"/>
        <v>0</v>
      </c>
      <c r="C318" s="7">
        <f t="shared" si="44"/>
        <v>0</v>
      </c>
      <c r="D318" s="7">
        <f t="shared" si="45"/>
        <v>0</v>
      </c>
      <c r="E318" s="7">
        <f>SUM(C$5:C318)</f>
        <v>0</v>
      </c>
      <c r="F318" s="7">
        <f>SUM(D$5:D318)</f>
        <v>0</v>
      </c>
      <c r="G318" s="7">
        <f>$D$1-'Amort Schedule - Flip'!F318</f>
        <v>0</v>
      </c>
      <c r="H318" s="11" t="e">
        <f t="shared" si="46"/>
        <v>#DIV/0!</v>
      </c>
      <c r="J318" s="127">
        <f t="shared" si="49"/>
        <v>0</v>
      </c>
      <c r="K318" s="127">
        <f t="shared" si="50"/>
        <v>0</v>
      </c>
      <c r="L318" s="7">
        <f t="shared" si="51"/>
        <v>0</v>
      </c>
      <c r="M318" s="7">
        <f t="shared" si="52"/>
        <v>0</v>
      </c>
      <c r="N318" s="7">
        <f t="shared" si="53"/>
        <v>0</v>
      </c>
      <c r="O318" s="7">
        <f t="shared" si="54"/>
        <v>0</v>
      </c>
    </row>
    <row r="319" spans="1:15" x14ac:dyDescent="0.2">
      <c r="A319">
        <f t="shared" si="47"/>
        <v>315</v>
      </c>
      <c r="B319" s="7">
        <f t="shared" si="48"/>
        <v>0</v>
      </c>
      <c r="C319" s="7">
        <f t="shared" si="44"/>
        <v>0</v>
      </c>
      <c r="D319" s="7">
        <f t="shared" si="45"/>
        <v>0</v>
      </c>
      <c r="E319" s="7">
        <f>SUM(C$5:C319)</f>
        <v>0</v>
      </c>
      <c r="F319" s="7">
        <f>SUM(D$5:D319)</f>
        <v>0</v>
      </c>
      <c r="G319" s="7">
        <f>$D$1-'Amort Schedule - Flip'!F319</f>
        <v>0</v>
      </c>
      <c r="H319" s="11" t="e">
        <f t="shared" si="46"/>
        <v>#DIV/0!</v>
      </c>
      <c r="J319" s="127">
        <f t="shared" si="49"/>
        <v>0</v>
      </c>
      <c r="K319" s="127">
        <f t="shared" si="50"/>
        <v>0</v>
      </c>
      <c r="L319" s="7">
        <f t="shared" si="51"/>
        <v>0</v>
      </c>
      <c r="M319" s="7">
        <f t="shared" si="52"/>
        <v>0</v>
      </c>
      <c r="N319" s="7">
        <f t="shared" si="53"/>
        <v>0</v>
      </c>
      <c r="O319" s="7">
        <f t="shared" si="54"/>
        <v>0</v>
      </c>
    </row>
    <row r="320" spans="1:15" x14ac:dyDescent="0.2">
      <c r="A320">
        <f t="shared" si="47"/>
        <v>316</v>
      </c>
      <c r="B320" s="7">
        <f t="shared" si="48"/>
        <v>0</v>
      </c>
      <c r="C320" s="7">
        <f t="shared" si="44"/>
        <v>0</v>
      </c>
      <c r="D320" s="7">
        <f t="shared" si="45"/>
        <v>0</v>
      </c>
      <c r="E320" s="7">
        <f>SUM(C$5:C320)</f>
        <v>0</v>
      </c>
      <c r="F320" s="7">
        <f>SUM(D$5:D320)</f>
        <v>0</v>
      </c>
      <c r="G320" s="7">
        <f>$D$1-'Amort Schedule - Flip'!F320</f>
        <v>0</v>
      </c>
      <c r="H320" s="11" t="e">
        <f t="shared" si="46"/>
        <v>#DIV/0!</v>
      </c>
      <c r="J320" s="127">
        <f t="shared" si="49"/>
        <v>0</v>
      </c>
      <c r="K320" s="127">
        <f t="shared" si="50"/>
        <v>0</v>
      </c>
      <c r="L320" s="7">
        <f t="shared" si="51"/>
        <v>0</v>
      </c>
      <c r="M320" s="7">
        <f t="shared" si="52"/>
        <v>0</v>
      </c>
      <c r="N320" s="7">
        <f t="shared" si="53"/>
        <v>0</v>
      </c>
      <c r="O320" s="7">
        <f t="shared" si="54"/>
        <v>0</v>
      </c>
    </row>
    <row r="321" spans="1:15" x14ac:dyDescent="0.2">
      <c r="A321">
        <f t="shared" si="47"/>
        <v>317</v>
      </c>
      <c r="B321" s="7">
        <f t="shared" si="48"/>
        <v>0</v>
      </c>
      <c r="C321" s="7">
        <f t="shared" si="44"/>
        <v>0</v>
      </c>
      <c r="D321" s="7">
        <f t="shared" si="45"/>
        <v>0</v>
      </c>
      <c r="E321" s="7">
        <f>SUM(C$5:C321)</f>
        <v>0</v>
      </c>
      <c r="F321" s="7">
        <f>SUM(D$5:D321)</f>
        <v>0</v>
      </c>
      <c r="G321" s="7">
        <f>$D$1-'Amort Schedule - Flip'!F321</f>
        <v>0</v>
      </c>
      <c r="H321" s="11" t="e">
        <f t="shared" si="46"/>
        <v>#DIV/0!</v>
      </c>
      <c r="J321" s="127">
        <f t="shared" si="49"/>
        <v>0</v>
      </c>
      <c r="K321" s="127">
        <f t="shared" si="50"/>
        <v>0</v>
      </c>
      <c r="L321" s="7">
        <f t="shared" si="51"/>
        <v>0</v>
      </c>
      <c r="M321" s="7">
        <f t="shared" si="52"/>
        <v>0</v>
      </c>
      <c r="N321" s="7">
        <f t="shared" si="53"/>
        <v>0</v>
      </c>
      <c r="O321" s="7">
        <f t="shared" si="54"/>
        <v>0</v>
      </c>
    </row>
    <row r="322" spans="1:15" x14ac:dyDescent="0.2">
      <c r="A322">
        <f t="shared" si="47"/>
        <v>318</v>
      </c>
      <c r="B322" s="7">
        <f t="shared" si="48"/>
        <v>0</v>
      </c>
      <c r="C322" s="7">
        <f t="shared" si="44"/>
        <v>0</v>
      </c>
      <c r="D322" s="7">
        <f t="shared" si="45"/>
        <v>0</v>
      </c>
      <c r="E322" s="7">
        <f>SUM(C$5:C322)</f>
        <v>0</v>
      </c>
      <c r="F322" s="7">
        <f>SUM(D$5:D322)</f>
        <v>0</v>
      </c>
      <c r="G322" s="7">
        <f>$D$1-'Amort Schedule - Flip'!F322</f>
        <v>0</v>
      </c>
      <c r="H322" s="11" t="e">
        <f t="shared" si="46"/>
        <v>#DIV/0!</v>
      </c>
      <c r="J322" s="127">
        <f t="shared" si="49"/>
        <v>0</v>
      </c>
      <c r="K322" s="127">
        <f t="shared" si="50"/>
        <v>0</v>
      </c>
      <c r="L322" s="7">
        <f t="shared" si="51"/>
        <v>0</v>
      </c>
      <c r="M322" s="7">
        <f t="shared" si="52"/>
        <v>0</v>
      </c>
      <c r="N322" s="7">
        <f t="shared" si="53"/>
        <v>0</v>
      </c>
      <c r="O322" s="7">
        <f t="shared" si="54"/>
        <v>0</v>
      </c>
    </row>
    <row r="323" spans="1:15" x14ac:dyDescent="0.2">
      <c r="A323">
        <f t="shared" si="47"/>
        <v>319</v>
      </c>
      <c r="B323" s="7">
        <f t="shared" si="48"/>
        <v>0</v>
      </c>
      <c r="C323" s="7">
        <f t="shared" si="44"/>
        <v>0</v>
      </c>
      <c r="D323" s="7">
        <f t="shared" si="45"/>
        <v>0</v>
      </c>
      <c r="E323" s="7">
        <f>SUM(C$5:C323)</f>
        <v>0</v>
      </c>
      <c r="F323" s="7">
        <f>SUM(D$5:D323)</f>
        <v>0</v>
      </c>
      <c r="G323" s="7">
        <f>$D$1-'Amort Schedule - Flip'!F323</f>
        <v>0</v>
      </c>
      <c r="H323" s="11" t="e">
        <f t="shared" si="46"/>
        <v>#DIV/0!</v>
      </c>
      <c r="J323" s="127">
        <f t="shared" si="49"/>
        <v>0</v>
      </c>
      <c r="K323" s="127">
        <f t="shared" si="50"/>
        <v>0</v>
      </c>
      <c r="L323" s="7">
        <f t="shared" si="51"/>
        <v>0</v>
      </c>
      <c r="M323" s="7">
        <f t="shared" si="52"/>
        <v>0</v>
      </c>
      <c r="N323" s="7">
        <f t="shared" si="53"/>
        <v>0</v>
      </c>
      <c r="O323" s="7">
        <f t="shared" si="54"/>
        <v>0</v>
      </c>
    </row>
    <row r="324" spans="1:15" x14ac:dyDescent="0.2">
      <c r="A324">
        <f t="shared" si="47"/>
        <v>320</v>
      </c>
      <c r="B324" s="7">
        <f t="shared" si="48"/>
        <v>0</v>
      </c>
      <c r="C324" s="7">
        <f t="shared" si="44"/>
        <v>0</v>
      </c>
      <c r="D324" s="7">
        <f t="shared" si="45"/>
        <v>0</v>
      </c>
      <c r="E324" s="7">
        <f>SUM(C$5:C324)</f>
        <v>0</v>
      </c>
      <c r="F324" s="7">
        <f>SUM(D$5:D324)</f>
        <v>0</v>
      </c>
      <c r="G324" s="7">
        <f>$D$1-'Amort Schedule - Flip'!F324</f>
        <v>0</v>
      </c>
      <c r="H324" s="11" t="e">
        <f t="shared" si="46"/>
        <v>#DIV/0!</v>
      </c>
      <c r="J324" s="127">
        <f t="shared" si="49"/>
        <v>0</v>
      </c>
      <c r="K324" s="127">
        <f t="shared" si="50"/>
        <v>0</v>
      </c>
      <c r="L324" s="7">
        <f t="shared" si="51"/>
        <v>0</v>
      </c>
      <c r="M324" s="7">
        <f t="shared" si="52"/>
        <v>0</v>
      </c>
      <c r="N324" s="7">
        <f t="shared" si="53"/>
        <v>0</v>
      </c>
      <c r="O324" s="7">
        <f t="shared" si="54"/>
        <v>0</v>
      </c>
    </row>
    <row r="325" spans="1:15" x14ac:dyDescent="0.2">
      <c r="A325">
        <f t="shared" si="47"/>
        <v>321</v>
      </c>
      <c r="B325" s="7">
        <f t="shared" si="48"/>
        <v>0</v>
      </c>
      <c r="C325" s="7">
        <f t="shared" si="44"/>
        <v>0</v>
      </c>
      <c r="D325" s="7">
        <f t="shared" si="45"/>
        <v>0</v>
      </c>
      <c r="E325" s="7">
        <f>SUM(C$5:C325)</f>
        <v>0</v>
      </c>
      <c r="F325" s="7">
        <f>SUM(D$5:D325)</f>
        <v>0</v>
      </c>
      <c r="G325" s="7">
        <f>$D$1-'Amort Schedule - Flip'!F325</f>
        <v>0</v>
      </c>
      <c r="H325" s="11" t="e">
        <f t="shared" si="46"/>
        <v>#DIV/0!</v>
      </c>
      <c r="J325" s="127">
        <f t="shared" si="49"/>
        <v>0</v>
      </c>
      <c r="K325" s="127">
        <f t="shared" si="50"/>
        <v>0</v>
      </c>
      <c r="L325" s="7">
        <f t="shared" si="51"/>
        <v>0</v>
      </c>
      <c r="M325" s="7">
        <f t="shared" si="52"/>
        <v>0</v>
      </c>
      <c r="N325" s="7">
        <f t="shared" si="53"/>
        <v>0</v>
      </c>
      <c r="O325" s="7">
        <f t="shared" si="54"/>
        <v>0</v>
      </c>
    </row>
    <row r="326" spans="1:15" x14ac:dyDescent="0.2">
      <c r="A326">
        <f t="shared" si="47"/>
        <v>322</v>
      </c>
      <c r="B326" s="7">
        <f t="shared" si="48"/>
        <v>0</v>
      </c>
      <c r="C326" s="7">
        <f t="shared" ref="C326:C364" si="55">-IPMT($D$2/12,A326,$D$3,$D$1)</f>
        <v>0</v>
      </c>
      <c r="D326" s="7">
        <f t="shared" ref="D326:D364" si="56">-PPMT($D$2/12,A326,$D$3,$D$1)</f>
        <v>0</v>
      </c>
      <c r="E326" s="7">
        <f>SUM(C$5:C326)</f>
        <v>0</v>
      </c>
      <c r="F326" s="7">
        <f>SUM(D$5:D326)</f>
        <v>0</v>
      </c>
      <c r="G326" s="7">
        <f>$D$1-'Amort Schedule - Flip'!F326</f>
        <v>0</v>
      </c>
      <c r="H326" s="11" t="e">
        <f t="shared" ref="H326:H364" si="57">G326/$D$1</f>
        <v>#DIV/0!</v>
      </c>
      <c r="J326" s="127">
        <f t="shared" si="49"/>
        <v>0</v>
      </c>
      <c r="K326" s="127">
        <f t="shared" si="50"/>
        <v>0</v>
      </c>
      <c r="L326" s="7">
        <f t="shared" si="51"/>
        <v>0</v>
      </c>
      <c r="M326" s="7">
        <f t="shared" si="52"/>
        <v>0</v>
      </c>
      <c r="N326" s="7">
        <f t="shared" si="53"/>
        <v>0</v>
      </c>
      <c r="O326" s="7">
        <f t="shared" si="54"/>
        <v>0</v>
      </c>
    </row>
    <row r="327" spans="1:15" x14ac:dyDescent="0.2">
      <c r="A327">
        <f t="shared" ref="A327:A364" si="58">A326+1</f>
        <v>323</v>
      </c>
      <c r="B327" s="7">
        <f t="shared" ref="B327:B364" si="59">B326</f>
        <v>0</v>
      </c>
      <c r="C327" s="7">
        <f t="shared" si="55"/>
        <v>0</v>
      </c>
      <c r="D327" s="7">
        <f t="shared" si="56"/>
        <v>0</v>
      </c>
      <c r="E327" s="7">
        <f>SUM(C$5:C327)</f>
        <v>0</v>
      </c>
      <c r="F327" s="7">
        <f>SUM(D$5:D327)</f>
        <v>0</v>
      </c>
      <c r="G327" s="7">
        <f>$D$1-'Amort Schedule - Flip'!F327</f>
        <v>0</v>
      </c>
      <c r="H327" s="11" t="e">
        <f t="shared" si="57"/>
        <v>#DIV/0!</v>
      </c>
      <c r="J327" s="127">
        <f t="shared" ref="J327:J364" si="60">J326</f>
        <v>0</v>
      </c>
      <c r="K327" s="127">
        <f t="shared" ref="K327:K364" si="61">J327+K326</f>
        <v>0</v>
      </c>
      <c r="L327" s="7">
        <f t="shared" ref="L327:L364" si="62">B327-J327</f>
        <v>0</v>
      </c>
      <c r="M327" s="7">
        <f t="shared" ref="M327:M364" si="63">M326+L327</f>
        <v>0</v>
      </c>
      <c r="N327" s="7">
        <f t="shared" ref="N327:N364" si="64">C327-J327</f>
        <v>0</v>
      </c>
      <c r="O327" s="7">
        <f t="shared" ref="O327:O364" si="65">O326+N327</f>
        <v>0</v>
      </c>
    </row>
    <row r="328" spans="1:15" s="6" customFormat="1" x14ac:dyDescent="0.2">
      <c r="A328" s="6">
        <f t="shared" si="58"/>
        <v>324</v>
      </c>
      <c r="B328" s="128">
        <f t="shared" si="59"/>
        <v>0</v>
      </c>
      <c r="C328" s="128">
        <f t="shared" si="55"/>
        <v>0</v>
      </c>
      <c r="D328" s="128">
        <f t="shared" si="56"/>
        <v>0</v>
      </c>
      <c r="E328" s="128">
        <f>SUM(C$5:C328)</f>
        <v>0</v>
      </c>
      <c r="F328" s="128">
        <f>SUM(D$5:D328)</f>
        <v>0</v>
      </c>
      <c r="G328" s="128">
        <f>$D$1-'Amort Schedule - Flip'!F328</f>
        <v>0</v>
      </c>
      <c r="H328" s="124" t="e">
        <f t="shared" si="57"/>
        <v>#DIV/0!</v>
      </c>
      <c r="J328" s="127">
        <f t="shared" si="60"/>
        <v>0</v>
      </c>
      <c r="K328" s="127">
        <f t="shared" si="61"/>
        <v>0</v>
      </c>
      <c r="L328" s="7">
        <f t="shared" si="62"/>
        <v>0</v>
      </c>
      <c r="M328" s="7">
        <f t="shared" si="63"/>
        <v>0</v>
      </c>
      <c r="N328" s="7">
        <f t="shared" si="64"/>
        <v>0</v>
      </c>
      <c r="O328" s="7">
        <f t="shared" si="65"/>
        <v>0</v>
      </c>
    </row>
    <row r="329" spans="1:15" x14ac:dyDescent="0.2">
      <c r="A329">
        <f t="shared" si="58"/>
        <v>325</v>
      </c>
      <c r="B329" s="7">
        <f t="shared" si="59"/>
        <v>0</v>
      </c>
      <c r="C329" s="7">
        <f t="shared" si="55"/>
        <v>0</v>
      </c>
      <c r="D329" s="7">
        <f t="shared" si="56"/>
        <v>0</v>
      </c>
      <c r="E329" s="7">
        <f>SUM(C$5:C329)</f>
        <v>0</v>
      </c>
      <c r="F329" s="7">
        <f>SUM(D$5:D329)</f>
        <v>0</v>
      </c>
      <c r="G329" s="7">
        <f>$D$1-'Amort Schedule - Flip'!F329</f>
        <v>0</v>
      </c>
      <c r="H329" s="11" t="e">
        <f t="shared" si="57"/>
        <v>#DIV/0!</v>
      </c>
      <c r="J329" s="127">
        <f t="shared" si="60"/>
        <v>0</v>
      </c>
      <c r="K329" s="127">
        <f t="shared" si="61"/>
        <v>0</v>
      </c>
      <c r="L329" s="7">
        <f t="shared" si="62"/>
        <v>0</v>
      </c>
      <c r="M329" s="7">
        <f t="shared" si="63"/>
        <v>0</v>
      </c>
      <c r="N329" s="7">
        <f t="shared" si="64"/>
        <v>0</v>
      </c>
      <c r="O329" s="7">
        <f t="shared" si="65"/>
        <v>0</v>
      </c>
    </row>
    <row r="330" spans="1:15" x14ac:dyDescent="0.2">
      <c r="A330">
        <f t="shared" si="58"/>
        <v>326</v>
      </c>
      <c r="B330" s="7">
        <f t="shared" si="59"/>
        <v>0</v>
      </c>
      <c r="C330" s="7">
        <f t="shared" si="55"/>
        <v>0</v>
      </c>
      <c r="D330" s="7">
        <f t="shared" si="56"/>
        <v>0</v>
      </c>
      <c r="E330" s="7">
        <f>SUM(C$5:C330)</f>
        <v>0</v>
      </c>
      <c r="F330" s="7">
        <f>SUM(D$5:D330)</f>
        <v>0</v>
      </c>
      <c r="G330" s="7">
        <f>$D$1-'Amort Schedule - Flip'!F330</f>
        <v>0</v>
      </c>
      <c r="H330" s="11" t="e">
        <f t="shared" si="57"/>
        <v>#DIV/0!</v>
      </c>
      <c r="J330" s="127">
        <f t="shared" si="60"/>
        <v>0</v>
      </c>
      <c r="K330" s="127">
        <f t="shared" si="61"/>
        <v>0</v>
      </c>
      <c r="L330" s="7">
        <f t="shared" si="62"/>
        <v>0</v>
      </c>
      <c r="M330" s="7">
        <f t="shared" si="63"/>
        <v>0</v>
      </c>
      <c r="N330" s="7">
        <f t="shared" si="64"/>
        <v>0</v>
      </c>
      <c r="O330" s="7">
        <f t="shared" si="65"/>
        <v>0</v>
      </c>
    </row>
    <row r="331" spans="1:15" x14ac:dyDescent="0.2">
      <c r="A331">
        <f t="shared" si="58"/>
        <v>327</v>
      </c>
      <c r="B331" s="7">
        <f t="shared" si="59"/>
        <v>0</v>
      </c>
      <c r="C331" s="7">
        <f t="shared" si="55"/>
        <v>0</v>
      </c>
      <c r="D331" s="7">
        <f t="shared" si="56"/>
        <v>0</v>
      </c>
      <c r="E331" s="7">
        <f>SUM(C$5:C331)</f>
        <v>0</v>
      </c>
      <c r="F331" s="7">
        <f>SUM(D$5:D331)</f>
        <v>0</v>
      </c>
      <c r="G331" s="7">
        <f>$D$1-'Amort Schedule - Flip'!F331</f>
        <v>0</v>
      </c>
      <c r="H331" s="11" t="e">
        <f t="shared" si="57"/>
        <v>#DIV/0!</v>
      </c>
      <c r="J331" s="127">
        <f t="shared" si="60"/>
        <v>0</v>
      </c>
      <c r="K331" s="127">
        <f t="shared" si="61"/>
        <v>0</v>
      </c>
      <c r="L331" s="7">
        <f t="shared" si="62"/>
        <v>0</v>
      </c>
      <c r="M331" s="7">
        <f t="shared" si="63"/>
        <v>0</v>
      </c>
      <c r="N331" s="7">
        <f t="shared" si="64"/>
        <v>0</v>
      </c>
      <c r="O331" s="7">
        <f t="shared" si="65"/>
        <v>0</v>
      </c>
    </row>
    <row r="332" spans="1:15" x14ac:dyDescent="0.2">
      <c r="A332">
        <f t="shared" si="58"/>
        <v>328</v>
      </c>
      <c r="B332" s="7">
        <f t="shared" si="59"/>
        <v>0</v>
      </c>
      <c r="C332" s="7">
        <f t="shared" si="55"/>
        <v>0</v>
      </c>
      <c r="D332" s="7">
        <f t="shared" si="56"/>
        <v>0</v>
      </c>
      <c r="E332" s="7">
        <f>SUM(C$5:C332)</f>
        <v>0</v>
      </c>
      <c r="F332" s="7">
        <f>SUM(D$5:D332)</f>
        <v>0</v>
      </c>
      <c r="G332" s="7">
        <f>$D$1-'Amort Schedule - Flip'!F332</f>
        <v>0</v>
      </c>
      <c r="H332" s="11" t="e">
        <f t="shared" si="57"/>
        <v>#DIV/0!</v>
      </c>
      <c r="J332" s="127">
        <f t="shared" si="60"/>
        <v>0</v>
      </c>
      <c r="K332" s="127">
        <f t="shared" si="61"/>
        <v>0</v>
      </c>
      <c r="L332" s="7">
        <f t="shared" si="62"/>
        <v>0</v>
      </c>
      <c r="M332" s="7">
        <f t="shared" si="63"/>
        <v>0</v>
      </c>
      <c r="N332" s="7">
        <f t="shared" si="64"/>
        <v>0</v>
      </c>
      <c r="O332" s="7">
        <f t="shared" si="65"/>
        <v>0</v>
      </c>
    </row>
    <row r="333" spans="1:15" x14ac:dyDescent="0.2">
      <c r="A333">
        <f t="shared" si="58"/>
        <v>329</v>
      </c>
      <c r="B333" s="7">
        <f t="shared" si="59"/>
        <v>0</v>
      </c>
      <c r="C333" s="7">
        <f t="shared" si="55"/>
        <v>0</v>
      </c>
      <c r="D333" s="7">
        <f t="shared" si="56"/>
        <v>0</v>
      </c>
      <c r="E333" s="7">
        <f>SUM(C$5:C333)</f>
        <v>0</v>
      </c>
      <c r="F333" s="7">
        <f>SUM(D$5:D333)</f>
        <v>0</v>
      </c>
      <c r="G333" s="7">
        <f>$D$1-'Amort Schedule - Flip'!F333</f>
        <v>0</v>
      </c>
      <c r="H333" s="11" t="e">
        <f t="shared" si="57"/>
        <v>#DIV/0!</v>
      </c>
      <c r="J333" s="127">
        <f t="shared" si="60"/>
        <v>0</v>
      </c>
      <c r="K333" s="127">
        <f t="shared" si="61"/>
        <v>0</v>
      </c>
      <c r="L333" s="7">
        <f t="shared" si="62"/>
        <v>0</v>
      </c>
      <c r="M333" s="7">
        <f t="shared" si="63"/>
        <v>0</v>
      </c>
      <c r="N333" s="7">
        <f t="shared" si="64"/>
        <v>0</v>
      </c>
      <c r="O333" s="7">
        <f t="shared" si="65"/>
        <v>0</v>
      </c>
    </row>
    <row r="334" spans="1:15" x14ac:dyDescent="0.2">
      <c r="A334">
        <f t="shared" si="58"/>
        <v>330</v>
      </c>
      <c r="B334" s="7">
        <f t="shared" si="59"/>
        <v>0</v>
      </c>
      <c r="C334" s="7">
        <f t="shared" si="55"/>
        <v>0</v>
      </c>
      <c r="D334" s="7">
        <f t="shared" si="56"/>
        <v>0</v>
      </c>
      <c r="E334" s="7">
        <f>SUM(C$5:C334)</f>
        <v>0</v>
      </c>
      <c r="F334" s="7">
        <f>SUM(D$5:D334)</f>
        <v>0</v>
      </c>
      <c r="G334" s="7">
        <f>$D$1-'Amort Schedule - Flip'!F334</f>
        <v>0</v>
      </c>
      <c r="H334" s="11" t="e">
        <f t="shared" si="57"/>
        <v>#DIV/0!</v>
      </c>
      <c r="J334" s="127">
        <f t="shared" si="60"/>
        <v>0</v>
      </c>
      <c r="K334" s="127">
        <f t="shared" si="61"/>
        <v>0</v>
      </c>
      <c r="L334" s="7">
        <f t="shared" si="62"/>
        <v>0</v>
      </c>
      <c r="M334" s="7">
        <f t="shared" si="63"/>
        <v>0</v>
      </c>
      <c r="N334" s="7">
        <f t="shared" si="64"/>
        <v>0</v>
      </c>
      <c r="O334" s="7">
        <f t="shared" si="65"/>
        <v>0</v>
      </c>
    </row>
    <row r="335" spans="1:15" x14ac:dyDescent="0.2">
      <c r="A335">
        <f t="shared" si="58"/>
        <v>331</v>
      </c>
      <c r="B335" s="7">
        <f t="shared" si="59"/>
        <v>0</v>
      </c>
      <c r="C335" s="7">
        <f t="shared" si="55"/>
        <v>0</v>
      </c>
      <c r="D335" s="7">
        <f t="shared" si="56"/>
        <v>0</v>
      </c>
      <c r="E335" s="7">
        <f>SUM(C$5:C335)</f>
        <v>0</v>
      </c>
      <c r="F335" s="7">
        <f>SUM(D$5:D335)</f>
        <v>0</v>
      </c>
      <c r="G335" s="7">
        <f>$D$1-'Amort Schedule - Flip'!F335</f>
        <v>0</v>
      </c>
      <c r="H335" s="11" t="e">
        <f t="shared" si="57"/>
        <v>#DIV/0!</v>
      </c>
      <c r="J335" s="127">
        <f t="shared" si="60"/>
        <v>0</v>
      </c>
      <c r="K335" s="127">
        <f t="shared" si="61"/>
        <v>0</v>
      </c>
      <c r="L335" s="7">
        <f t="shared" si="62"/>
        <v>0</v>
      </c>
      <c r="M335" s="7">
        <f t="shared" si="63"/>
        <v>0</v>
      </c>
      <c r="N335" s="7">
        <f t="shared" si="64"/>
        <v>0</v>
      </c>
      <c r="O335" s="7">
        <f t="shared" si="65"/>
        <v>0</v>
      </c>
    </row>
    <row r="336" spans="1:15" x14ac:dyDescent="0.2">
      <c r="A336">
        <f t="shared" si="58"/>
        <v>332</v>
      </c>
      <c r="B336" s="7">
        <f t="shared" si="59"/>
        <v>0</v>
      </c>
      <c r="C336" s="7">
        <f t="shared" si="55"/>
        <v>0</v>
      </c>
      <c r="D336" s="7">
        <f t="shared" si="56"/>
        <v>0</v>
      </c>
      <c r="E336" s="7">
        <f>SUM(C$5:C336)</f>
        <v>0</v>
      </c>
      <c r="F336" s="7">
        <f>SUM(D$5:D336)</f>
        <v>0</v>
      </c>
      <c r="G336" s="7">
        <f>$D$1-'Amort Schedule - Flip'!F336</f>
        <v>0</v>
      </c>
      <c r="H336" s="11" t="e">
        <f t="shared" si="57"/>
        <v>#DIV/0!</v>
      </c>
      <c r="J336" s="127">
        <f t="shared" si="60"/>
        <v>0</v>
      </c>
      <c r="K336" s="127">
        <f t="shared" si="61"/>
        <v>0</v>
      </c>
      <c r="L336" s="7">
        <f t="shared" si="62"/>
        <v>0</v>
      </c>
      <c r="M336" s="7">
        <f t="shared" si="63"/>
        <v>0</v>
      </c>
      <c r="N336" s="7">
        <f t="shared" si="64"/>
        <v>0</v>
      </c>
      <c r="O336" s="7">
        <f t="shared" si="65"/>
        <v>0</v>
      </c>
    </row>
    <row r="337" spans="1:15" x14ac:dyDescent="0.2">
      <c r="A337">
        <f t="shared" si="58"/>
        <v>333</v>
      </c>
      <c r="B337" s="7">
        <f t="shared" si="59"/>
        <v>0</v>
      </c>
      <c r="C337" s="7">
        <f t="shared" si="55"/>
        <v>0</v>
      </c>
      <c r="D337" s="7">
        <f t="shared" si="56"/>
        <v>0</v>
      </c>
      <c r="E337" s="7">
        <f>SUM(C$5:C337)</f>
        <v>0</v>
      </c>
      <c r="F337" s="7">
        <f>SUM(D$5:D337)</f>
        <v>0</v>
      </c>
      <c r="G337" s="7">
        <f>$D$1-'Amort Schedule - Flip'!F337</f>
        <v>0</v>
      </c>
      <c r="H337" s="11" t="e">
        <f t="shared" si="57"/>
        <v>#DIV/0!</v>
      </c>
      <c r="J337" s="127">
        <f t="shared" si="60"/>
        <v>0</v>
      </c>
      <c r="K337" s="127">
        <f t="shared" si="61"/>
        <v>0</v>
      </c>
      <c r="L337" s="7">
        <f t="shared" si="62"/>
        <v>0</v>
      </c>
      <c r="M337" s="7">
        <f t="shared" si="63"/>
        <v>0</v>
      </c>
      <c r="N337" s="7">
        <f t="shared" si="64"/>
        <v>0</v>
      </c>
      <c r="O337" s="7">
        <f t="shared" si="65"/>
        <v>0</v>
      </c>
    </row>
    <row r="338" spans="1:15" x14ac:dyDescent="0.2">
      <c r="A338">
        <f t="shared" si="58"/>
        <v>334</v>
      </c>
      <c r="B338" s="7">
        <f t="shared" si="59"/>
        <v>0</v>
      </c>
      <c r="C338" s="7">
        <f t="shared" si="55"/>
        <v>0</v>
      </c>
      <c r="D338" s="7">
        <f t="shared" si="56"/>
        <v>0</v>
      </c>
      <c r="E338" s="7">
        <f>SUM(C$5:C338)</f>
        <v>0</v>
      </c>
      <c r="F338" s="7">
        <f>SUM(D$5:D338)</f>
        <v>0</v>
      </c>
      <c r="G338" s="7">
        <f>$D$1-'Amort Schedule - Flip'!F338</f>
        <v>0</v>
      </c>
      <c r="H338" s="11" t="e">
        <f t="shared" si="57"/>
        <v>#DIV/0!</v>
      </c>
      <c r="J338" s="127">
        <f t="shared" si="60"/>
        <v>0</v>
      </c>
      <c r="K338" s="127">
        <f t="shared" si="61"/>
        <v>0</v>
      </c>
      <c r="L338" s="7">
        <f t="shared" si="62"/>
        <v>0</v>
      </c>
      <c r="M338" s="7">
        <f t="shared" si="63"/>
        <v>0</v>
      </c>
      <c r="N338" s="7">
        <f t="shared" si="64"/>
        <v>0</v>
      </c>
      <c r="O338" s="7">
        <f t="shared" si="65"/>
        <v>0</v>
      </c>
    </row>
    <row r="339" spans="1:15" x14ac:dyDescent="0.2">
      <c r="A339">
        <f t="shared" si="58"/>
        <v>335</v>
      </c>
      <c r="B339" s="7">
        <f t="shared" si="59"/>
        <v>0</v>
      </c>
      <c r="C339" s="7">
        <f t="shared" si="55"/>
        <v>0</v>
      </c>
      <c r="D339" s="7">
        <f t="shared" si="56"/>
        <v>0</v>
      </c>
      <c r="E339" s="7">
        <f>SUM(C$5:C339)</f>
        <v>0</v>
      </c>
      <c r="F339" s="7">
        <f>SUM(D$5:D339)</f>
        <v>0</v>
      </c>
      <c r="G339" s="7">
        <f>$D$1-'Amort Schedule - Flip'!F339</f>
        <v>0</v>
      </c>
      <c r="H339" s="11" t="e">
        <f t="shared" si="57"/>
        <v>#DIV/0!</v>
      </c>
      <c r="J339" s="127">
        <f t="shared" si="60"/>
        <v>0</v>
      </c>
      <c r="K339" s="127">
        <f t="shared" si="61"/>
        <v>0</v>
      </c>
      <c r="L339" s="7">
        <f t="shared" si="62"/>
        <v>0</v>
      </c>
      <c r="M339" s="7">
        <f t="shared" si="63"/>
        <v>0</v>
      </c>
      <c r="N339" s="7">
        <f t="shared" si="64"/>
        <v>0</v>
      </c>
      <c r="O339" s="7">
        <f t="shared" si="65"/>
        <v>0</v>
      </c>
    </row>
    <row r="340" spans="1:15" s="6" customFormat="1" x14ac:dyDescent="0.2">
      <c r="A340" s="6">
        <f t="shared" si="58"/>
        <v>336</v>
      </c>
      <c r="B340" s="128">
        <f t="shared" si="59"/>
        <v>0</v>
      </c>
      <c r="C340" s="128">
        <f t="shared" si="55"/>
        <v>0</v>
      </c>
      <c r="D340" s="128">
        <f t="shared" si="56"/>
        <v>0</v>
      </c>
      <c r="E340" s="128">
        <f>SUM(C$5:C340)</f>
        <v>0</v>
      </c>
      <c r="F340" s="128">
        <f>SUM(D$5:D340)</f>
        <v>0</v>
      </c>
      <c r="G340" s="128">
        <f>$D$1-'Amort Schedule - Flip'!F340</f>
        <v>0</v>
      </c>
      <c r="H340" s="124" t="e">
        <f t="shared" si="57"/>
        <v>#DIV/0!</v>
      </c>
      <c r="J340" s="127">
        <f t="shared" si="60"/>
        <v>0</v>
      </c>
      <c r="K340" s="127">
        <f t="shared" si="61"/>
        <v>0</v>
      </c>
      <c r="L340" s="7">
        <f t="shared" si="62"/>
        <v>0</v>
      </c>
      <c r="M340" s="7">
        <f t="shared" si="63"/>
        <v>0</v>
      </c>
      <c r="N340" s="7">
        <f t="shared" si="64"/>
        <v>0</v>
      </c>
      <c r="O340" s="7">
        <f t="shared" si="65"/>
        <v>0</v>
      </c>
    </row>
    <row r="341" spans="1:15" x14ac:dyDescent="0.2">
      <c r="A341">
        <f t="shared" si="58"/>
        <v>337</v>
      </c>
      <c r="B341" s="7">
        <f t="shared" si="59"/>
        <v>0</v>
      </c>
      <c r="C341" s="7">
        <f t="shared" si="55"/>
        <v>0</v>
      </c>
      <c r="D341" s="7">
        <f t="shared" si="56"/>
        <v>0</v>
      </c>
      <c r="E341" s="7">
        <f>SUM(C$5:C341)</f>
        <v>0</v>
      </c>
      <c r="F341" s="7">
        <f>SUM(D$5:D341)</f>
        <v>0</v>
      </c>
      <c r="G341" s="7">
        <f>$D$1-'Amort Schedule - Flip'!F341</f>
        <v>0</v>
      </c>
      <c r="H341" s="11" t="e">
        <f t="shared" si="57"/>
        <v>#DIV/0!</v>
      </c>
      <c r="J341" s="127">
        <f t="shared" si="60"/>
        <v>0</v>
      </c>
      <c r="K341" s="127">
        <f t="shared" si="61"/>
        <v>0</v>
      </c>
      <c r="L341" s="7">
        <f t="shared" si="62"/>
        <v>0</v>
      </c>
      <c r="M341" s="7">
        <f t="shared" si="63"/>
        <v>0</v>
      </c>
      <c r="N341" s="7">
        <f t="shared" si="64"/>
        <v>0</v>
      </c>
      <c r="O341" s="7">
        <f t="shared" si="65"/>
        <v>0</v>
      </c>
    </row>
    <row r="342" spans="1:15" x14ac:dyDescent="0.2">
      <c r="A342">
        <f t="shared" si="58"/>
        <v>338</v>
      </c>
      <c r="B342" s="7">
        <f t="shared" si="59"/>
        <v>0</v>
      </c>
      <c r="C342" s="7">
        <f t="shared" si="55"/>
        <v>0</v>
      </c>
      <c r="D342" s="7">
        <f t="shared" si="56"/>
        <v>0</v>
      </c>
      <c r="E342" s="7">
        <f>SUM(C$5:C342)</f>
        <v>0</v>
      </c>
      <c r="F342" s="7">
        <f>SUM(D$5:D342)</f>
        <v>0</v>
      </c>
      <c r="G342" s="7">
        <f>$D$1-'Amort Schedule - Flip'!F342</f>
        <v>0</v>
      </c>
      <c r="H342" s="11" t="e">
        <f t="shared" si="57"/>
        <v>#DIV/0!</v>
      </c>
      <c r="J342" s="127">
        <f t="shared" si="60"/>
        <v>0</v>
      </c>
      <c r="K342" s="127">
        <f t="shared" si="61"/>
        <v>0</v>
      </c>
      <c r="L342" s="7">
        <f t="shared" si="62"/>
        <v>0</v>
      </c>
      <c r="M342" s="7">
        <f t="shared" si="63"/>
        <v>0</v>
      </c>
      <c r="N342" s="7">
        <f t="shared" si="64"/>
        <v>0</v>
      </c>
      <c r="O342" s="7">
        <f t="shared" si="65"/>
        <v>0</v>
      </c>
    </row>
    <row r="343" spans="1:15" x14ac:dyDescent="0.2">
      <c r="A343">
        <f t="shared" si="58"/>
        <v>339</v>
      </c>
      <c r="B343" s="7">
        <f t="shared" si="59"/>
        <v>0</v>
      </c>
      <c r="C343" s="7">
        <f t="shared" si="55"/>
        <v>0</v>
      </c>
      <c r="D343" s="7">
        <f t="shared" si="56"/>
        <v>0</v>
      </c>
      <c r="E343" s="7">
        <f>SUM(C$5:C343)</f>
        <v>0</v>
      </c>
      <c r="F343" s="7">
        <f>SUM(D$5:D343)</f>
        <v>0</v>
      </c>
      <c r="G343" s="7">
        <f>$D$1-'Amort Schedule - Flip'!F343</f>
        <v>0</v>
      </c>
      <c r="H343" s="11" t="e">
        <f t="shared" si="57"/>
        <v>#DIV/0!</v>
      </c>
      <c r="J343" s="127">
        <f t="shared" si="60"/>
        <v>0</v>
      </c>
      <c r="K343" s="127">
        <f t="shared" si="61"/>
        <v>0</v>
      </c>
      <c r="L343" s="7">
        <f t="shared" si="62"/>
        <v>0</v>
      </c>
      <c r="M343" s="7">
        <f t="shared" si="63"/>
        <v>0</v>
      </c>
      <c r="N343" s="7">
        <f t="shared" si="64"/>
        <v>0</v>
      </c>
      <c r="O343" s="7">
        <f t="shared" si="65"/>
        <v>0</v>
      </c>
    </row>
    <row r="344" spans="1:15" x14ac:dyDescent="0.2">
      <c r="A344">
        <f t="shared" si="58"/>
        <v>340</v>
      </c>
      <c r="B344" s="7">
        <f t="shared" si="59"/>
        <v>0</v>
      </c>
      <c r="C344" s="7">
        <f t="shared" si="55"/>
        <v>0</v>
      </c>
      <c r="D344" s="7">
        <f t="shared" si="56"/>
        <v>0</v>
      </c>
      <c r="E344" s="7">
        <f>SUM(C$5:C344)</f>
        <v>0</v>
      </c>
      <c r="F344" s="7">
        <f>SUM(D$5:D344)</f>
        <v>0</v>
      </c>
      <c r="G344" s="7">
        <f>$D$1-'Amort Schedule - Flip'!F344</f>
        <v>0</v>
      </c>
      <c r="H344" s="11" t="e">
        <f t="shared" si="57"/>
        <v>#DIV/0!</v>
      </c>
      <c r="J344" s="127">
        <f t="shared" si="60"/>
        <v>0</v>
      </c>
      <c r="K344" s="127">
        <f t="shared" si="61"/>
        <v>0</v>
      </c>
      <c r="L344" s="7">
        <f t="shared" si="62"/>
        <v>0</v>
      </c>
      <c r="M344" s="7">
        <f t="shared" si="63"/>
        <v>0</v>
      </c>
      <c r="N344" s="7">
        <f t="shared" si="64"/>
        <v>0</v>
      </c>
      <c r="O344" s="7">
        <f t="shared" si="65"/>
        <v>0</v>
      </c>
    </row>
    <row r="345" spans="1:15" x14ac:dyDescent="0.2">
      <c r="A345">
        <f t="shared" si="58"/>
        <v>341</v>
      </c>
      <c r="B345" s="7">
        <f t="shared" si="59"/>
        <v>0</v>
      </c>
      <c r="C345" s="7">
        <f t="shared" si="55"/>
        <v>0</v>
      </c>
      <c r="D345" s="7">
        <f t="shared" si="56"/>
        <v>0</v>
      </c>
      <c r="E345" s="7">
        <f>SUM(C$5:C345)</f>
        <v>0</v>
      </c>
      <c r="F345" s="7">
        <f>SUM(D$5:D345)</f>
        <v>0</v>
      </c>
      <c r="G345" s="7">
        <f>$D$1-'Amort Schedule - Flip'!F345</f>
        <v>0</v>
      </c>
      <c r="H345" s="11" t="e">
        <f t="shared" si="57"/>
        <v>#DIV/0!</v>
      </c>
      <c r="J345" s="127">
        <f t="shared" si="60"/>
        <v>0</v>
      </c>
      <c r="K345" s="127">
        <f t="shared" si="61"/>
        <v>0</v>
      </c>
      <c r="L345" s="7">
        <f t="shared" si="62"/>
        <v>0</v>
      </c>
      <c r="M345" s="7">
        <f t="shared" si="63"/>
        <v>0</v>
      </c>
      <c r="N345" s="7">
        <f t="shared" si="64"/>
        <v>0</v>
      </c>
      <c r="O345" s="7">
        <f t="shared" si="65"/>
        <v>0</v>
      </c>
    </row>
    <row r="346" spans="1:15" x14ac:dyDescent="0.2">
      <c r="A346">
        <f t="shared" si="58"/>
        <v>342</v>
      </c>
      <c r="B346" s="7">
        <f t="shared" si="59"/>
        <v>0</v>
      </c>
      <c r="C346" s="7">
        <f t="shared" si="55"/>
        <v>0</v>
      </c>
      <c r="D346" s="7">
        <f t="shared" si="56"/>
        <v>0</v>
      </c>
      <c r="E346" s="7">
        <f>SUM(C$5:C346)</f>
        <v>0</v>
      </c>
      <c r="F346" s="7">
        <f>SUM(D$5:D346)</f>
        <v>0</v>
      </c>
      <c r="G346" s="7">
        <f>$D$1-'Amort Schedule - Flip'!F346</f>
        <v>0</v>
      </c>
      <c r="H346" s="11" t="e">
        <f t="shared" si="57"/>
        <v>#DIV/0!</v>
      </c>
      <c r="J346" s="127">
        <f t="shared" si="60"/>
        <v>0</v>
      </c>
      <c r="K346" s="127">
        <f t="shared" si="61"/>
        <v>0</v>
      </c>
      <c r="L346" s="7">
        <f t="shared" si="62"/>
        <v>0</v>
      </c>
      <c r="M346" s="7">
        <f t="shared" si="63"/>
        <v>0</v>
      </c>
      <c r="N346" s="7">
        <f t="shared" si="64"/>
        <v>0</v>
      </c>
      <c r="O346" s="7">
        <f t="shared" si="65"/>
        <v>0</v>
      </c>
    </row>
    <row r="347" spans="1:15" x14ac:dyDescent="0.2">
      <c r="A347">
        <f t="shared" si="58"/>
        <v>343</v>
      </c>
      <c r="B347" s="7">
        <f t="shared" si="59"/>
        <v>0</v>
      </c>
      <c r="C347" s="7">
        <f t="shared" si="55"/>
        <v>0</v>
      </c>
      <c r="D347" s="7">
        <f t="shared" si="56"/>
        <v>0</v>
      </c>
      <c r="E347" s="7">
        <f>SUM(C$5:C347)</f>
        <v>0</v>
      </c>
      <c r="F347" s="7">
        <f>SUM(D$5:D347)</f>
        <v>0</v>
      </c>
      <c r="G347" s="7">
        <f>$D$1-'Amort Schedule - Flip'!F347</f>
        <v>0</v>
      </c>
      <c r="H347" s="11" t="e">
        <f t="shared" si="57"/>
        <v>#DIV/0!</v>
      </c>
      <c r="J347" s="127">
        <f t="shared" si="60"/>
        <v>0</v>
      </c>
      <c r="K347" s="127">
        <f t="shared" si="61"/>
        <v>0</v>
      </c>
      <c r="L347" s="7">
        <f t="shared" si="62"/>
        <v>0</v>
      </c>
      <c r="M347" s="7">
        <f t="shared" si="63"/>
        <v>0</v>
      </c>
      <c r="N347" s="7">
        <f t="shared" si="64"/>
        <v>0</v>
      </c>
      <c r="O347" s="7">
        <f t="shared" si="65"/>
        <v>0</v>
      </c>
    </row>
    <row r="348" spans="1:15" x14ac:dyDescent="0.2">
      <c r="A348">
        <f t="shared" si="58"/>
        <v>344</v>
      </c>
      <c r="B348" s="7">
        <f t="shared" si="59"/>
        <v>0</v>
      </c>
      <c r="C348" s="7">
        <f t="shared" si="55"/>
        <v>0</v>
      </c>
      <c r="D348" s="7">
        <f t="shared" si="56"/>
        <v>0</v>
      </c>
      <c r="E348" s="7">
        <f>SUM(C$5:C348)</f>
        <v>0</v>
      </c>
      <c r="F348" s="7">
        <f>SUM(D$5:D348)</f>
        <v>0</v>
      </c>
      <c r="G348" s="7">
        <f>$D$1-'Amort Schedule - Flip'!F348</f>
        <v>0</v>
      </c>
      <c r="H348" s="11" t="e">
        <f t="shared" si="57"/>
        <v>#DIV/0!</v>
      </c>
      <c r="J348" s="127">
        <f t="shared" si="60"/>
        <v>0</v>
      </c>
      <c r="K348" s="127">
        <f t="shared" si="61"/>
        <v>0</v>
      </c>
      <c r="L348" s="7">
        <f t="shared" si="62"/>
        <v>0</v>
      </c>
      <c r="M348" s="7">
        <f t="shared" si="63"/>
        <v>0</v>
      </c>
      <c r="N348" s="7">
        <f t="shared" si="64"/>
        <v>0</v>
      </c>
      <c r="O348" s="7">
        <f t="shared" si="65"/>
        <v>0</v>
      </c>
    </row>
    <row r="349" spans="1:15" x14ac:dyDescent="0.2">
      <c r="A349">
        <f t="shared" si="58"/>
        <v>345</v>
      </c>
      <c r="B349" s="7">
        <f t="shared" si="59"/>
        <v>0</v>
      </c>
      <c r="C349" s="7">
        <f t="shared" si="55"/>
        <v>0</v>
      </c>
      <c r="D349" s="7">
        <f t="shared" si="56"/>
        <v>0</v>
      </c>
      <c r="E349" s="7">
        <f>SUM(C$5:C349)</f>
        <v>0</v>
      </c>
      <c r="F349" s="7">
        <f>SUM(D$5:D349)</f>
        <v>0</v>
      </c>
      <c r="G349" s="7">
        <f>$D$1-'Amort Schedule - Flip'!F349</f>
        <v>0</v>
      </c>
      <c r="H349" s="11" t="e">
        <f t="shared" si="57"/>
        <v>#DIV/0!</v>
      </c>
      <c r="J349" s="127">
        <f t="shared" si="60"/>
        <v>0</v>
      </c>
      <c r="K349" s="127">
        <f t="shared" si="61"/>
        <v>0</v>
      </c>
      <c r="L349" s="7">
        <f t="shared" si="62"/>
        <v>0</v>
      </c>
      <c r="M349" s="7">
        <f t="shared" si="63"/>
        <v>0</v>
      </c>
      <c r="N349" s="7">
        <f t="shared" si="64"/>
        <v>0</v>
      </c>
      <c r="O349" s="7">
        <f t="shared" si="65"/>
        <v>0</v>
      </c>
    </row>
    <row r="350" spans="1:15" x14ac:dyDescent="0.2">
      <c r="A350">
        <f t="shared" si="58"/>
        <v>346</v>
      </c>
      <c r="B350" s="7">
        <f t="shared" si="59"/>
        <v>0</v>
      </c>
      <c r="C350" s="7">
        <f t="shared" si="55"/>
        <v>0</v>
      </c>
      <c r="D350" s="7">
        <f t="shared" si="56"/>
        <v>0</v>
      </c>
      <c r="E350" s="7">
        <f>SUM(C$5:C350)</f>
        <v>0</v>
      </c>
      <c r="F350" s="7">
        <f>SUM(D$5:D350)</f>
        <v>0</v>
      </c>
      <c r="G350" s="7">
        <f>$D$1-'Amort Schedule - Flip'!F350</f>
        <v>0</v>
      </c>
      <c r="H350" s="11" t="e">
        <f t="shared" si="57"/>
        <v>#DIV/0!</v>
      </c>
      <c r="J350" s="127">
        <f t="shared" si="60"/>
        <v>0</v>
      </c>
      <c r="K350" s="127">
        <f t="shared" si="61"/>
        <v>0</v>
      </c>
      <c r="L350" s="7">
        <f t="shared" si="62"/>
        <v>0</v>
      </c>
      <c r="M350" s="7">
        <f t="shared" si="63"/>
        <v>0</v>
      </c>
      <c r="N350" s="7">
        <f t="shared" si="64"/>
        <v>0</v>
      </c>
      <c r="O350" s="7">
        <f t="shared" si="65"/>
        <v>0</v>
      </c>
    </row>
    <row r="351" spans="1:15" x14ac:dyDescent="0.2">
      <c r="A351">
        <f t="shared" si="58"/>
        <v>347</v>
      </c>
      <c r="B351" s="7">
        <f t="shared" si="59"/>
        <v>0</v>
      </c>
      <c r="C351" s="7">
        <f t="shared" si="55"/>
        <v>0</v>
      </c>
      <c r="D351" s="7">
        <f t="shared" si="56"/>
        <v>0</v>
      </c>
      <c r="E351" s="7">
        <f>SUM(C$5:C351)</f>
        <v>0</v>
      </c>
      <c r="F351" s="7">
        <f>SUM(D$5:D351)</f>
        <v>0</v>
      </c>
      <c r="G351" s="7">
        <f>$D$1-'Amort Schedule - Flip'!F351</f>
        <v>0</v>
      </c>
      <c r="H351" s="11" t="e">
        <f t="shared" si="57"/>
        <v>#DIV/0!</v>
      </c>
      <c r="J351" s="127">
        <f t="shared" si="60"/>
        <v>0</v>
      </c>
      <c r="K351" s="127">
        <f t="shared" si="61"/>
        <v>0</v>
      </c>
      <c r="L351" s="7">
        <f t="shared" si="62"/>
        <v>0</v>
      </c>
      <c r="M351" s="7">
        <f t="shared" si="63"/>
        <v>0</v>
      </c>
      <c r="N351" s="7">
        <f t="shared" si="64"/>
        <v>0</v>
      </c>
      <c r="O351" s="7">
        <f t="shared" si="65"/>
        <v>0</v>
      </c>
    </row>
    <row r="352" spans="1:15" s="6" customFormat="1" x14ac:dyDescent="0.2">
      <c r="A352" s="6">
        <f t="shared" si="58"/>
        <v>348</v>
      </c>
      <c r="B352" s="128">
        <f t="shared" si="59"/>
        <v>0</v>
      </c>
      <c r="C352" s="128">
        <f t="shared" si="55"/>
        <v>0</v>
      </c>
      <c r="D352" s="128">
        <f t="shared" si="56"/>
        <v>0</v>
      </c>
      <c r="E352" s="128">
        <f>SUM(C$5:C352)</f>
        <v>0</v>
      </c>
      <c r="F352" s="128">
        <f>SUM(D$5:D352)</f>
        <v>0</v>
      </c>
      <c r="G352" s="128">
        <f>$D$1-'Amort Schedule - Flip'!F352</f>
        <v>0</v>
      </c>
      <c r="H352" s="124" t="e">
        <f t="shared" si="57"/>
        <v>#DIV/0!</v>
      </c>
      <c r="J352" s="127">
        <f t="shared" si="60"/>
        <v>0</v>
      </c>
      <c r="K352" s="127">
        <f t="shared" si="61"/>
        <v>0</v>
      </c>
      <c r="L352" s="7">
        <f t="shared" si="62"/>
        <v>0</v>
      </c>
      <c r="M352" s="7">
        <f t="shared" si="63"/>
        <v>0</v>
      </c>
      <c r="N352" s="7">
        <f t="shared" si="64"/>
        <v>0</v>
      </c>
      <c r="O352" s="7">
        <f t="shared" si="65"/>
        <v>0</v>
      </c>
    </row>
    <row r="353" spans="1:15" x14ac:dyDescent="0.2">
      <c r="A353">
        <f t="shared" si="58"/>
        <v>349</v>
      </c>
      <c r="B353" s="7">
        <f t="shared" si="59"/>
        <v>0</v>
      </c>
      <c r="C353" s="7">
        <f t="shared" si="55"/>
        <v>0</v>
      </c>
      <c r="D353" s="7">
        <f t="shared" si="56"/>
        <v>0</v>
      </c>
      <c r="E353" s="7">
        <f>SUM(C$5:C353)</f>
        <v>0</v>
      </c>
      <c r="F353" s="7">
        <f>SUM(D$5:D353)</f>
        <v>0</v>
      </c>
      <c r="G353" s="7">
        <f>$D$1-'Amort Schedule - Flip'!F353</f>
        <v>0</v>
      </c>
      <c r="H353" s="11" t="e">
        <f t="shared" si="57"/>
        <v>#DIV/0!</v>
      </c>
      <c r="J353" s="127">
        <f t="shared" si="60"/>
        <v>0</v>
      </c>
      <c r="K353" s="127">
        <f t="shared" si="61"/>
        <v>0</v>
      </c>
      <c r="L353" s="7">
        <f t="shared" si="62"/>
        <v>0</v>
      </c>
      <c r="M353" s="7">
        <f t="shared" si="63"/>
        <v>0</v>
      </c>
      <c r="N353" s="7">
        <f t="shared" si="64"/>
        <v>0</v>
      </c>
      <c r="O353" s="7">
        <f t="shared" si="65"/>
        <v>0</v>
      </c>
    </row>
    <row r="354" spans="1:15" x14ac:dyDescent="0.2">
      <c r="A354">
        <f t="shared" si="58"/>
        <v>350</v>
      </c>
      <c r="B354" s="7">
        <f t="shared" si="59"/>
        <v>0</v>
      </c>
      <c r="C354" s="7">
        <f t="shared" si="55"/>
        <v>0</v>
      </c>
      <c r="D354" s="7">
        <f t="shared" si="56"/>
        <v>0</v>
      </c>
      <c r="E354" s="7">
        <f>SUM(C$5:C354)</f>
        <v>0</v>
      </c>
      <c r="F354" s="7">
        <f>SUM(D$5:D354)</f>
        <v>0</v>
      </c>
      <c r="G354" s="7">
        <f>$D$1-'Amort Schedule - Flip'!F354</f>
        <v>0</v>
      </c>
      <c r="H354" s="11" t="e">
        <f t="shared" si="57"/>
        <v>#DIV/0!</v>
      </c>
      <c r="J354" s="127">
        <f t="shared" si="60"/>
        <v>0</v>
      </c>
      <c r="K354" s="127">
        <f t="shared" si="61"/>
        <v>0</v>
      </c>
      <c r="L354" s="7">
        <f t="shared" si="62"/>
        <v>0</v>
      </c>
      <c r="M354" s="7">
        <f t="shared" si="63"/>
        <v>0</v>
      </c>
      <c r="N354" s="7">
        <f t="shared" si="64"/>
        <v>0</v>
      </c>
      <c r="O354" s="7">
        <f t="shared" si="65"/>
        <v>0</v>
      </c>
    </row>
    <row r="355" spans="1:15" x14ac:dyDescent="0.2">
      <c r="A355">
        <f t="shared" si="58"/>
        <v>351</v>
      </c>
      <c r="B355" s="7">
        <f t="shared" si="59"/>
        <v>0</v>
      </c>
      <c r="C355" s="7">
        <f t="shared" si="55"/>
        <v>0</v>
      </c>
      <c r="D355" s="7">
        <f t="shared" si="56"/>
        <v>0</v>
      </c>
      <c r="E355" s="7">
        <f>SUM(C$5:C355)</f>
        <v>0</v>
      </c>
      <c r="F355" s="7">
        <f>SUM(D$5:D355)</f>
        <v>0</v>
      </c>
      <c r="G355" s="7">
        <f>$D$1-'Amort Schedule - Flip'!F355</f>
        <v>0</v>
      </c>
      <c r="H355" s="11" t="e">
        <f t="shared" si="57"/>
        <v>#DIV/0!</v>
      </c>
      <c r="J355" s="127">
        <f t="shared" si="60"/>
        <v>0</v>
      </c>
      <c r="K355" s="127">
        <f t="shared" si="61"/>
        <v>0</v>
      </c>
      <c r="L355" s="7">
        <f t="shared" si="62"/>
        <v>0</v>
      </c>
      <c r="M355" s="7">
        <f t="shared" si="63"/>
        <v>0</v>
      </c>
      <c r="N355" s="7">
        <f t="shared" si="64"/>
        <v>0</v>
      </c>
      <c r="O355" s="7">
        <f t="shared" si="65"/>
        <v>0</v>
      </c>
    </row>
    <row r="356" spans="1:15" x14ac:dyDescent="0.2">
      <c r="A356">
        <f t="shared" si="58"/>
        <v>352</v>
      </c>
      <c r="B356" s="7">
        <f t="shared" si="59"/>
        <v>0</v>
      </c>
      <c r="C356" s="7">
        <f t="shared" si="55"/>
        <v>0</v>
      </c>
      <c r="D356" s="7">
        <f t="shared" si="56"/>
        <v>0</v>
      </c>
      <c r="E356" s="7">
        <f>SUM(C$5:C356)</f>
        <v>0</v>
      </c>
      <c r="F356" s="7">
        <f>SUM(D$5:D356)</f>
        <v>0</v>
      </c>
      <c r="G356" s="7">
        <f>$D$1-'Amort Schedule - Flip'!F356</f>
        <v>0</v>
      </c>
      <c r="H356" s="11" t="e">
        <f t="shared" si="57"/>
        <v>#DIV/0!</v>
      </c>
      <c r="J356" s="127">
        <f t="shared" si="60"/>
        <v>0</v>
      </c>
      <c r="K356" s="127">
        <f t="shared" si="61"/>
        <v>0</v>
      </c>
      <c r="L356" s="7">
        <f t="shared" si="62"/>
        <v>0</v>
      </c>
      <c r="M356" s="7">
        <f t="shared" si="63"/>
        <v>0</v>
      </c>
      <c r="N356" s="7">
        <f t="shared" si="64"/>
        <v>0</v>
      </c>
      <c r="O356" s="7">
        <f t="shared" si="65"/>
        <v>0</v>
      </c>
    </row>
    <row r="357" spans="1:15" x14ac:dyDescent="0.2">
      <c r="A357">
        <f t="shared" si="58"/>
        <v>353</v>
      </c>
      <c r="B357" s="7">
        <f t="shared" si="59"/>
        <v>0</v>
      </c>
      <c r="C357" s="7">
        <f t="shared" si="55"/>
        <v>0</v>
      </c>
      <c r="D357" s="7">
        <f t="shared" si="56"/>
        <v>0</v>
      </c>
      <c r="E357" s="7">
        <f>SUM(C$5:C357)</f>
        <v>0</v>
      </c>
      <c r="F357" s="7">
        <f>SUM(D$5:D357)</f>
        <v>0</v>
      </c>
      <c r="G357" s="7">
        <f>$D$1-'Amort Schedule - Flip'!F357</f>
        <v>0</v>
      </c>
      <c r="H357" s="11" t="e">
        <f t="shared" si="57"/>
        <v>#DIV/0!</v>
      </c>
      <c r="J357" s="127">
        <f t="shared" si="60"/>
        <v>0</v>
      </c>
      <c r="K357" s="127">
        <f t="shared" si="61"/>
        <v>0</v>
      </c>
      <c r="L357" s="7">
        <f t="shared" si="62"/>
        <v>0</v>
      </c>
      <c r="M357" s="7">
        <f t="shared" si="63"/>
        <v>0</v>
      </c>
      <c r="N357" s="7">
        <f t="shared" si="64"/>
        <v>0</v>
      </c>
      <c r="O357" s="7">
        <f t="shared" si="65"/>
        <v>0</v>
      </c>
    </row>
    <row r="358" spans="1:15" x14ac:dyDescent="0.2">
      <c r="A358">
        <f t="shared" si="58"/>
        <v>354</v>
      </c>
      <c r="B358" s="7">
        <f t="shared" si="59"/>
        <v>0</v>
      </c>
      <c r="C358" s="7">
        <f t="shared" si="55"/>
        <v>0</v>
      </c>
      <c r="D358" s="7">
        <f t="shared" si="56"/>
        <v>0</v>
      </c>
      <c r="E358" s="7">
        <f>SUM(C$5:C358)</f>
        <v>0</v>
      </c>
      <c r="F358" s="7">
        <f>SUM(D$5:D358)</f>
        <v>0</v>
      </c>
      <c r="G358" s="7">
        <f>$D$1-'Amort Schedule - Flip'!F358</f>
        <v>0</v>
      </c>
      <c r="H358" s="11" t="e">
        <f t="shared" si="57"/>
        <v>#DIV/0!</v>
      </c>
      <c r="J358" s="127">
        <f t="shared" si="60"/>
        <v>0</v>
      </c>
      <c r="K358" s="127">
        <f t="shared" si="61"/>
        <v>0</v>
      </c>
      <c r="L358" s="7">
        <f t="shared" si="62"/>
        <v>0</v>
      </c>
      <c r="M358" s="7">
        <f t="shared" si="63"/>
        <v>0</v>
      </c>
      <c r="N358" s="7">
        <f t="shared" si="64"/>
        <v>0</v>
      </c>
      <c r="O358" s="7">
        <f t="shared" si="65"/>
        <v>0</v>
      </c>
    </row>
    <row r="359" spans="1:15" x14ac:dyDescent="0.2">
      <c r="A359">
        <f t="shared" si="58"/>
        <v>355</v>
      </c>
      <c r="B359" s="7">
        <f t="shared" si="59"/>
        <v>0</v>
      </c>
      <c r="C359" s="7">
        <f t="shared" si="55"/>
        <v>0</v>
      </c>
      <c r="D359" s="7">
        <f t="shared" si="56"/>
        <v>0</v>
      </c>
      <c r="E359" s="7">
        <f>SUM(C$5:C359)</f>
        <v>0</v>
      </c>
      <c r="F359" s="7">
        <f>SUM(D$5:D359)</f>
        <v>0</v>
      </c>
      <c r="G359" s="7">
        <f>$D$1-'Amort Schedule - Flip'!F359</f>
        <v>0</v>
      </c>
      <c r="H359" s="11" t="e">
        <f t="shared" si="57"/>
        <v>#DIV/0!</v>
      </c>
      <c r="J359" s="127">
        <f t="shared" si="60"/>
        <v>0</v>
      </c>
      <c r="K359" s="127">
        <f t="shared" si="61"/>
        <v>0</v>
      </c>
      <c r="L359" s="7">
        <f t="shared" si="62"/>
        <v>0</v>
      </c>
      <c r="M359" s="7">
        <f t="shared" si="63"/>
        <v>0</v>
      </c>
      <c r="N359" s="7">
        <f t="shared" si="64"/>
        <v>0</v>
      </c>
      <c r="O359" s="7">
        <f t="shared" si="65"/>
        <v>0</v>
      </c>
    </row>
    <row r="360" spans="1:15" x14ac:dyDescent="0.2">
      <c r="A360">
        <f t="shared" si="58"/>
        <v>356</v>
      </c>
      <c r="B360" s="7">
        <f t="shared" si="59"/>
        <v>0</v>
      </c>
      <c r="C360" s="7">
        <f t="shared" si="55"/>
        <v>0</v>
      </c>
      <c r="D360" s="7">
        <f t="shared" si="56"/>
        <v>0</v>
      </c>
      <c r="E360" s="7">
        <f>SUM(C$5:C360)</f>
        <v>0</v>
      </c>
      <c r="F360" s="7">
        <f>SUM(D$5:D360)</f>
        <v>0</v>
      </c>
      <c r="G360" s="7">
        <f>$D$1-'Amort Schedule - Flip'!F360</f>
        <v>0</v>
      </c>
      <c r="H360" s="11" t="e">
        <f t="shared" si="57"/>
        <v>#DIV/0!</v>
      </c>
      <c r="J360" s="127">
        <f t="shared" si="60"/>
        <v>0</v>
      </c>
      <c r="K360" s="127">
        <f t="shared" si="61"/>
        <v>0</v>
      </c>
      <c r="L360" s="7">
        <f t="shared" si="62"/>
        <v>0</v>
      </c>
      <c r="M360" s="7">
        <f t="shared" si="63"/>
        <v>0</v>
      </c>
      <c r="N360" s="7">
        <f t="shared" si="64"/>
        <v>0</v>
      </c>
      <c r="O360" s="7">
        <f t="shared" si="65"/>
        <v>0</v>
      </c>
    </row>
    <row r="361" spans="1:15" x14ac:dyDescent="0.2">
      <c r="A361">
        <f t="shared" si="58"/>
        <v>357</v>
      </c>
      <c r="B361" s="7">
        <f t="shared" si="59"/>
        <v>0</v>
      </c>
      <c r="C361" s="7">
        <f t="shared" si="55"/>
        <v>0</v>
      </c>
      <c r="D361" s="7">
        <f t="shared" si="56"/>
        <v>0</v>
      </c>
      <c r="E361" s="7">
        <f>SUM(C$5:C361)</f>
        <v>0</v>
      </c>
      <c r="F361" s="7">
        <f>SUM(D$5:D361)</f>
        <v>0</v>
      </c>
      <c r="G361" s="7">
        <f>$D$1-'Amort Schedule - Flip'!F361</f>
        <v>0</v>
      </c>
      <c r="H361" s="11" t="e">
        <f t="shared" si="57"/>
        <v>#DIV/0!</v>
      </c>
      <c r="J361" s="127">
        <f t="shared" si="60"/>
        <v>0</v>
      </c>
      <c r="K361" s="127">
        <f t="shared" si="61"/>
        <v>0</v>
      </c>
      <c r="L361" s="7">
        <f t="shared" si="62"/>
        <v>0</v>
      </c>
      <c r="M361" s="7">
        <f t="shared" si="63"/>
        <v>0</v>
      </c>
      <c r="N361" s="7">
        <f t="shared" si="64"/>
        <v>0</v>
      </c>
      <c r="O361" s="7">
        <f t="shared" si="65"/>
        <v>0</v>
      </c>
    </row>
    <row r="362" spans="1:15" x14ac:dyDescent="0.2">
      <c r="A362">
        <f t="shared" si="58"/>
        <v>358</v>
      </c>
      <c r="B362" s="7">
        <f t="shared" si="59"/>
        <v>0</v>
      </c>
      <c r="C362" s="7">
        <f t="shared" si="55"/>
        <v>0</v>
      </c>
      <c r="D362" s="7">
        <f t="shared" si="56"/>
        <v>0</v>
      </c>
      <c r="E362" s="7">
        <f>SUM(C$5:C362)</f>
        <v>0</v>
      </c>
      <c r="F362" s="7">
        <f>SUM(D$5:D362)</f>
        <v>0</v>
      </c>
      <c r="G362" s="7">
        <f>$D$1-'Amort Schedule - Flip'!F362</f>
        <v>0</v>
      </c>
      <c r="H362" s="11" t="e">
        <f t="shared" si="57"/>
        <v>#DIV/0!</v>
      </c>
      <c r="J362" s="127">
        <f t="shared" si="60"/>
        <v>0</v>
      </c>
      <c r="K362" s="127">
        <f t="shared" si="61"/>
        <v>0</v>
      </c>
      <c r="L362" s="7">
        <f t="shared" si="62"/>
        <v>0</v>
      </c>
      <c r="M362" s="7">
        <f t="shared" si="63"/>
        <v>0</v>
      </c>
      <c r="N362" s="7">
        <f t="shared" si="64"/>
        <v>0</v>
      </c>
      <c r="O362" s="7">
        <f t="shared" si="65"/>
        <v>0</v>
      </c>
    </row>
    <row r="363" spans="1:15" x14ac:dyDescent="0.2">
      <c r="A363">
        <f t="shared" si="58"/>
        <v>359</v>
      </c>
      <c r="B363" s="7">
        <f t="shared" si="59"/>
        <v>0</v>
      </c>
      <c r="C363" s="7">
        <f t="shared" si="55"/>
        <v>0</v>
      </c>
      <c r="D363" s="7">
        <f t="shared" si="56"/>
        <v>0</v>
      </c>
      <c r="E363" s="7">
        <f>SUM(C$5:C363)</f>
        <v>0</v>
      </c>
      <c r="F363" s="7">
        <f>SUM(D$5:D363)</f>
        <v>0</v>
      </c>
      <c r="G363" s="7">
        <f>$D$1-'Amort Schedule - Flip'!F363</f>
        <v>0</v>
      </c>
      <c r="H363" s="11" t="e">
        <f t="shared" si="57"/>
        <v>#DIV/0!</v>
      </c>
      <c r="J363" s="127">
        <f t="shared" si="60"/>
        <v>0</v>
      </c>
      <c r="K363" s="127">
        <f t="shared" si="61"/>
        <v>0</v>
      </c>
      <c r="L363" s="7">
        <f t="shared" si="62"/>
        <v>0</v>
      </c>
      <c r="M363" s="7">
        <f t="shared" si="63"/>
        <v>0</v>
      </c>
      <c r="N363" s="7">
        <f t="shared" si="64"/>
        <v>0</v>
      </c>
      <c r="O363" s="7">
        <f t="shared" si="65"/>
        <v>0</v>
      </c>
    </row>
    <row r="364" spans="1:15" s="6" customFormat="1" x14ac:dyDescent="0.2">
      <c r="A364" s="6">
        <f t="shared" si="58"/>
        <v>360</v>
      </c>
      <c r="B364" s="128">
        <f t="shared" si="59"/>
        <v>0</v>
      </c>
      <c r="C364" s="128">
        <f t="shared" si="55"/>
        <v>0</v>
      </c>
      <c r="D364" s="128">
        <f t="shared" si="56"/>
        <v>0</v>
      </c>
      <c r="E364" s="128">
        <f>SUM(C$5:C364)</f>
        <v>0</v>
      </c>
      <c r="F364" s="128">
        <f>SUM(D$5:D364)</f>
        <v>0</v>
      </c>
      <c r="G364" s="128">
        <f>$D$1-'Amort Schedule - Flip'!F364</f>
        <v>0</v>
      </c>
      <c r="H364" s="124" t="e">
        <f t="shared" si="57"/>
        <v>#DIV/0!</v>
      </c>
      <c r="J364" s="127">
        <f t="shared" si="60"/>
        <v>0</v>
      </c>
      <c r="K364" s="127">
        <f t="shared" si="61"/>
        <v>0</v>
      </c>
      <c r="L364" s="7">
        <f t="shared" si="62"/>
        <v>0</v>
      </c>
      <c r="M364" s="7">
        <f t="shared" si="63"/>
        <v>0</v>
      </c>
      <c r="N364" s="7">
        <f t="shared" si="64"/>
        <v>0</v>
      </c>
      <c r="O364" s="7">
        <f t="shared" si="65"/>
        <v>0</v>
      </c>
    </row>
    <row r="366" spans="1:15" s="6" customFormat="1" x14ac:dyDescent="0.2">
      <c r="A366" s="6" t="s">
        <v>209</v>
      </c>
      <c r="B366" s="128">
        <f>SUM(B5:B365)</f>
        <v>0</v>
      </c>
      <c r="C366" s="128">
        <f t="shared" ref="C366:D366" si="66">SUM(C5:C365)</f>
        <v>0</v>
      </c>
      <c r="D366" s="128">
        <f t="shared" si="66"/>
        <v>0</v>
      </c>
      <c r="H366" s="124"/>
      <c r="J366" s="128">
        <f>SUM(J5:J365)</f>
        <v>0</v>
      </c>
      <c r="K366" s="131">
        <f>K364</f>
        <v>0</v>
      </c>
      <c r="L366" s="128">
        <f>SUM(L5:L365)</f>
        <v>0</v>
      </c>
      <c r="M366" s="128">
        <f>M364</f>
        <v>0</v>
      </c>
      <c r="N366" s="128">
        <f>SUM(N5:N365)</f>
        <v>0</v>
      </c>
      <c r="O366" s="128">
        <f>O364</f>
        <v>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56D6B-2C37-40B7-9824-8581EE4D1407}">
  <sheetPr codeName="Sheet8"/>
  <dimension ref="A1:O366"/>
  <sheetViews>
    <sheetView topLeftCell="L1" workbookViewId="0">
      <pane ySplit="4" topLeftCell="A5" activePane="bottomLeft" state="frozen"/>
      <selection activeCell="K47" sqref="K47"/>
      <selection pane="bottomLeft" activeCell="L5" sqref="L5"/>
    </sheetView>
  </sheetViews>
  <sheetFormatPr defaultRowHeight="12.75" x14ac:dyDescent="0.2"/>
  <cols>
    <col min="2" max="3" width="12.42578125" customWidth="1"/>
    <col min="4" max="4" width="13.7109375" customWidth="1"/>
    <col min="5" max="7" width="15.85546875" customWidth="1"/>
    <col min="8" max="8" width="11.28515625" style="11" customWidth="1"/>
    <col min="9" max="9" width="3.140625" customWidth="1"/>
    <col min="10" max="10" width="12.140625" bestFit="1" customWidth="1"/>
    <col min="11" max="11" width="13.140625" bestFit="1" customWidth="1"/>
    <col min="12" max="13" width="12.140625" bestFit="1" customWidth="1"/>
    <col min="14" max="14" width="11" bestFit="1" customWidth="1"/>
    <col min="15" max="15" width="11.85546875" customWidth="1"/>
  </cols>
  <sheetData>
    <row r="1" spans="1:15" x14ac:dyDescent="0.2">
      <c r="C1" s="21" t="s">
        <v>192</v>
      </c>
      <c r="D1" s="22">
        <f>'Sale to Retail Investor'!B5</f>
        <v>56000</v>
      </c>
      <c r="E1" s="130">
        <f>D2-E2</f>
        <v>1.4999999999999999E-2</v>
      </c>
      <c r="F1" s="129" t="s">
        <v>193</v>
      </c>
    </row>
    <row r="2" spans="1:15" x14ac:dyDescent="0.2">
      <c r="C2" s="21" t="s">
        <v>194</v>
      </c>
      <c r="D2" s="23">
        <f>'Sale to Retail Investor'!B6</f>
        <v>7.4999999999999997E-2</v>
      </c>
      <c r="E2" s="124">
        <v>0.06</v>
      </c>
      <c r="F2" t="s">
        <v>195</v>
      </c>
    </row>
    <row r="3" spans="1:15" x14ac:dyDescent="0.2">
      <c r="C3" s="21" t="s">
        <v>196</v>
      </c>
      <c r="D3" s="6">
        <f>'Sale to Retail Investor'!B7*12</f>
        <v>360</v>
      </c>
    </row>
    <row r="4" spans="1:15" s="125" customFormat="1" ht="38.25" x14ac:dyDescent="0.2">
      <c r="A4" s="125" t="s">
        <v>197</v>
      </c>
      <c r="B4" s="125" t="s">
        <v>198</v>
      </c>
      <c r="C4" s="125" t="s">
        <v>199</v>
      </c>
      <c r="D4" s="125" t="s">
        <v>200</v>
      </c>
      <c r="E4" s="125" t="s">
        <v>201</v>
      </c>
      <c r="F4" s="125" t="s">
        <v>202</v>
      </c>
      <c r="G4" s="125" t="s">
        <v>203</v>
      </c>
      <c r="H4" s="126" t="s">
        <v>204</v>
      </c>
      <c r="J4" s="125" t="s">
        <v>106</v>
      </c>
      <c r="K4" s="125" t="s">
        <v>201</v>
      </c>
      <c r="L4" s="125" t="s">
        <v>205</v>
      </c>
      <c r="M4" s="125" t="s">
        <v>206</v>
      </c>
      <c r="N4" s="125" t="s">
        <v>207</v>
      </c>
      <c r="O4" s="125" t="s">
        <v>208</v>
      </c>
    </row>
    <row r="5" spans="1:15" x14ac:dyDescent="0.2">
      <c r="A5">
        <v>1</v>
      </c>
      <c r="B5" s="7">
        <f>-PMT($D$2/12,$D$3,$D$1)</f>
        <v>391.56012478955631</v>
      </c>
      <c r="C5" s="7">
        <f>-IPMT($D$2/12,A5,$D$3,$D$1)</f>
        <v>349.99999999999994</v>
      </c>
      <c r="D5" s="7">
        <f>-PPMT($D$2/12,A5,$D$3,$D$1)</f>
        <v>41.560124789556369</v>
      </c>
      <c r="E5" s="7">
        <f>C5</f>
        <v>349.99999999999994</v>
      </c>
      <c r="F5" s="7">
        <f>D5</f>
        <v>41.560124789556369</v>
      </c>
      <c r="G5" s="7">
        <f>$D$1-'Amort Schedule - Investor'!F5</f>
        <v>55958.439875210446</v>
      </c>
      <c r="H5" s="11">
        <f>G5/$D$1</f>
        <v>0.99925785491447228</v>
      </c>
      <c r="J5" s="127">
        <f>D1*E2/12</f>
        <v>280</v>
      </c>
      <c r="K5" s="127">
        <f>J5</f>
        <v>280</v>
      </c>
      <c r="L5" s="7">
        <f>B5-J5</f>
        <v>111.56012478955631</v>
      </c>
      <c r="M5" s="7">
        <f>L5</f>
        <v>111.56012478955631</v>
      </c>
      <c r="N5" s="7">
        <f>C5-J5</f>
        <v>69.999999999999943</v>
      </c>
      <c r="O5" s="7">
        <f>N5</f>
        <v>69.999999999999943</v>
      </c>
    </row>
    <row r="6" spans="1:15" x14ac:dyDescent="0.2">
      <c r="A6">
        <f>A5+1</f>
        <v>2</v>
      </c>
      <c r="B6" s="7">
        <f>B5</f>
        <v>391.56012478955631</v>
      </c>
      <c r="C6" s="7">
        <f t="shared" ref="C6:C69" si="0">-IPMT($D$2/12,A6,$D$3,$D$1)</f>
        <v>349.74024922006521</v>
      </c>
      <c r="D6" s="7">
        <f t="shared" ref="D6:D69" si="1">-PPMT($D$2/12,A6,$D$3,$D$1)</f>
        <v>41.819875569491103</v>
      </c>
      <c r="E6" s="7">
        <f>SUM(C$5:C6)</f>
        <v>699.74024922006515</v>
      </c>
      <c r="F6" s="7">
        <f>SUM(D$5:D6)</f>
        <v>83.380000359047472</v>
      </c>
      <c r="G6" s="7">
        <f>$D$1-'Amort Schedule - Investor'!F6</f>
        <v>55916.619999640956</v>
      </c>
      <c r="H6" s="11">
        <f t="shared" ref="H6:H69" si="2">G6/$D$1</f>
        <v>0.99851107142215989</v>
      </c>
      <c r="J6" s="127">
        <f>J5</f>
        <v>280</v>
      </c>
      <c r="K6" s="127">
        <f>J6+K5</f>
        <v>560</v>
      </c>
      <c r="L6" s="7">
        <f>B6-J6</f>
        <v>111.56012478955631</v>
      </c>
      <c r="M6" s="7">
        <f>M5+L6</f>
        <v>223.12024957911262</v>
      </c>
      <c r="N6" s="7">
        <f>C6-J6</f>
        <v>69.740249220065209</v>
      </c>
      <c r="O6" s="7">
        <f>O5+N6</f>
        <v>139.74024922006515</v>
      </c>
    </row>
    <row r="7" spans="1:15" x14ac:dyDescent="0.2">
      <c r="A7">
        <f t="shared" ref="A7:A70" si="3">A6+1</f>
        <v>3</v>
      </c>
      <c r="B7" s="7">
        <f t="shared" ref="B7:B70" si="4">B6</f>
        <v>391.56012478955631</v>
      </c>
      <c r="C7" s="7">
        <f t="shared" si="0"/>
        <v>349.4788749977559</v>
      </c>
      <c r="D7" s="7">
        <f t="shared" si="1"/>
        <v>42.081249791800417</v>
      </c>
      <c r="E7" s="7">
        <f>SUM(C$5:C7)</f>
        <v>1049.219124217821</v>
      </c>
      <c r="F7" s="7">
        <f>SUM(D$5:D7)</f>
        <v>125.46125015084789</v>
      </c>
      <c r="G7" s="7">
        <f>$D$1-'Amort Schedule - Investor'!F7</f>
        <v>55874.538749849155</v>
      </c>
      <c r="H7" s="11">
        <f t="shared" si="2"/>
        <v>0.99775962053302059</v>
      </c>
      <c r="J7" s="127">
        <f t="shared" ref="J7:J70" si="5">J6</f>
        <v>280</v>
      </c>
      <c r="K7" s="127">
        <f t="shared" ref="K7:K70" si="6">J7+K6</f>
        <v>840</v>
      </c>
      <c r="L7" s="7">
        <f t="shared" ref="L7:L70" si="7">B7-J7</f>
        <v>111.56012478955631</v>
      </c>
      <c r="M7" s="7">
        <f t="shared" ref="M7:M70" si="8">M6+L7</f>
        <v>334.68037436866894</v>
      </c>
      <c r="N7" s="7">
        <f t="shared" ref="N7:N70" si="9">C7-J7</f>
        <v>69.478874997755895</v>
      </c>
      <c r="O7" s="7">
        <f t="shared" ref="O7:O70" si="10">O6+N7</f>
        <v>209.21912421782105</v>
      </c>
    </row>
    <row r="8" spans="1:15" x14ac:dyDescent="0.2">
      <c r="A8">
        <f t="shared" si="3"/>
        <v>4</v>
      </c>
      <c r="B8" s="7">
        <f t="shared" si="4"/>
        <v>391.56012478955631</v>
      </c>
      <c r="C8" s="7">
        <f t="shared" si="0"/>
        <v>349.21586718655715</v>
      </c>
      <c r="D8" s="7">
        <f t="shared" si="1"/>
        <v>42.344257602999171</v>
      </c>
      <c r="E8" s="7">
        <f>SUM(C$5:C8)</f>
        <v>1398.4349914043783</v>
      </c>
      <c r="F8" s="7">
        <f>SUM(D$5:D8)</f>
        <v>167.80550775384705</v>
      </c>
      <c r="G8" s="7">
        <f>$D$1-'Amort Schedule - Investor'!F8</f>
        <v>55832.194492246155</v>
      </c>
      <c r="H8" s="11">
        <f t="shared" si="2"/>
        <v>0.99700347307582415</v>
      </c>
      <c r="J8" s="127">
        <f t="shared" si="5"/>
        <v>280</v>
      </c>
      <c r="K8" s="127">
        <f t="shared" si="6"/>
        <v>1120</v>
      </c>
      <c r="L8" s="7">
        <f t="shared" si="7"/>
        <v>111.56012478955631</v>
      </c>
      <c r="M8" s="7">
        <f t="shared" si="8"/>
        <v>446.24049915822525</v>
      </c>
      <c r="N8" s="7">
        <f t="shared" si="9"/>
        <v>69.215867186557148</v>
      </c>
      <c r="O8" s="7">
        <f t="shared" si="10"/>
        <v>278.4349914043782</v>
      </c>
    </row>
    <row r="9" spans="1:15" x14ac:dyDescent="0.2">
      <c r="A9">
        <f t="shared" si="3"/>
        <v>5</v>
      </c>
      <c r="B9" s="7">
        <f t="shared" si="4"/>
        <v>391.56012478955631</v>
      </c>
      <c r="C9" s="7">
        <f t="shared" si="0"/>
        <v>348.9512155765384</v>
      </c>
      <c r="D9" s="7">
        <f t="shared" si="1"/>
        <v>42.608909213017917</v>
      </c>
      <c r="E9" s="7">
        <f>SUM(C$5:C9)</f>
        <v>1747.3862069809165</v>
      </c>
      <c r="F9" s="7">
        <f>SUM(D$5:D9)</f>
        <v>210.41441696686496</v>
      </c>
      <c r="G9" s="7">
        <f>$D$1-'Amort Schedule - Investor'!F9</f>
        <v>55789.585583033135</v>
      </c>
      <c r="H9" s="11">
        <f t="shared" si="2"/>
        <v>0.99624259969702023</v>
      </c>
      <c r="J9" s="127">
        <f t="shared" si="5"/>
        <v>280</v>
      </c>
      <c r="K9" s="127">
        <f t="shared" si="6"/>
        <v>1400</v>
      </c>
      <c r="L9" s="7">
        <f t="shared" si="7"/>
        <v>111.56012478955631</v>
      </c>
      <c r="M9" s="7">
        <f t="shared" si="8"/>
        <v>557.80062394778156</v>
      </c>
      <c r="N9" s="7">
        <f t="shared" si="9"/>
        <v>68.951215576538402</v>
      </c>
      <c r="O9" s="7">
        <f t="shared" si="10"/>
        <v>347.3862069809166</v>
      </c>
    </row>
    <row r="10" spans="1:15" x14ac:dyDescent="0.2">
      <c r="A10">
        <f t="shared" si="3"/>
        <v>6</v>
      </c>
      <c r="B10" s="7">
        <f t="shared" si="4"/>
        <v>391.56012478955631</v>
      </c>
      <c r="C10" s="7">
        <f t="shared" si="0"/>
        <v>348.68490989395701</v>
      </c>
      <c r="D10" s="7">
        <f t="shared" si="1"/>
        <v>42.875214895599278</v>
      </c>
      <c r="E10" s="7">
        <f>SUM(C$5:C10)</f>
        <v>2096.0711168748735</v>
      </c>
      <c r="F10" s="7">
        <f>SUM(D$5:D10)</f>
        <v>253.28963186246423</v>
      </c>
      <c r="G10" s="7">
        <f>$D$1-'Amort Schedule - Investor'!F10</f>
        <v>55746.710368137537</v>
      </c>
      <c r="H10" s="11">
        <f t="shared" si="2"/>
        <v>0.99547697085959885</v>
      </c>
      <c r="J10" s="127">
        <f t="shared" si="5"/>
        <v>280</v>
      </c>
      <c r="K10" s="127">
        <f t="shared" si="6"/>
        <v>1680</v>
      </c>
      <c r="L10" s="7">
        <f t="shared" si="7"/>
        <v>111.56012478955631</v>
      </c>
      <c r="M10" s="7">
        <f t="shared" si="8"/>
        <v>669.36074873733787</v>
      </c>
      <c r="N10" s="7">
        <f t="shared" si="9"/>
        <v>68.684909893957013</v>
      </c>
      <c r="O10" s="7">
        <f t="shared" si="10"/>
        <v>416.07111687487361</v>
      </c>
    </row>
    <row r="11" spans="1:15" x14ac:dyDescent="0.2">
      <c r="A11">
        <f t="shared" si="3"/>
        <v>7</v>
      </c>
      <c r="B11" s="7">
        <f t="shared" si="4"/>
        <v>391.56012478955631</v>
      </c>
      <c r="C11" s="7">
        <f t="shared" si="0"/>
        <v>348.41693980085955</v>
      </c>
      <c r="D11" s="7">
        <f t="shared" si="1"/>
        <v>43.143184988696781</v>
      </c>
      <c r="E11" s="7">
        <f>SUM(C$5:C11)</f>
        <v>2444.4880566757329</v>
      </c>
      <c r="F11" s="7">
        <f>SUM(D$5:D11)</f>
        <v>296.43281685116102</v>
      </c>
      <c r="G11" s="7">
        <f>$D$1-'Amort Schedule - Investor'!F11</f>
        <v>55703.567183148836</v>
      </c>
      <c r="H11" s="11">
        <f t="shared" si="2"/>
        <v>0.99470655684194353</v>
      </c>
      <c r="J11" s="127">
        <f t="shared" si="5"/>
        <v>280</v>
      </c>
      <c r="K11" s="127">
        <f t="shared" si="6"/>
        <v>1960</v>
      </c>
      <c r="L11" s="7">
        <f t="shared" si="7"/>
        <v>111.56012478955631</v>
      </c>
      <c r="M11" s="7">
        <f t="shared" si="8"/>
        <v>780.92087352689418</v>
      </c>
      <c r="N11" s="7">
        <f t="shared" si="9"/>
        <v>68.416939800859552</v>
      </c>
      <c r="O11" s="7">
        <f t="shared" si="10"/>
        <v>484.48805667573316</v>
      </c>
    </row>
    <row r="12" spans="1:15" x14ac:dyDescent="0.2">
      <c r="A12">
        <f t="shared" si="3"/>
        <v>8</v>
      </c>
      <c r="B12" s="7">
        <f t="shared" si="4"/>
        <v>391.56012478955631</v>
      </c>
      <c r="C12" s="7">
        <f t="shared" si="0"/>
        <v>348.14729489468021</v>
      </c>
      <c r="D12" s="7">
        <f t="shared" si="1"/>
        <v>43.412829894876133</v>
      </c>
      <c r="E12" s="7">
        <f>SUM(C$5:C12)</f>
        <v>2792.6353515704131</v>
      </c>
      <c r="F12" s="7">
        <f>SUM(D$5:D12)</f>
        <v>339.84564674603718</v>
      </c>
      <c r="G12" s="7">
        <f>$D$1-'Amort Schedule - Investor'!F12</f>
        <v>55660.154353253965</v>
      </c>
      <c r="H12" s="11">
        <f t="shared" si="2"/>
        <v>0.99393132773667792</v>
      </c>
      <c r="J12" s="127">
        <f t="shared" si="5"/>
        <v>280</v>
      </c>
      <c r="K12" s="127">
        <f t="shared" si="6"/>
        <v>2240</v>
      </c>
      <c r="L12" s="7">
        <f t="shared" si="7"/>
        <v>111.56012478955631</v>
      </c>
      <c r="M12" s="7">
        <f t="shared" si="8"/>
        <v>892.4809983164505</v>
      </c>
      <c r="N12" s="7">
        <f t="shared" si="9"/>
        <v>68.147294894680215</v>
      </c>
      <c r="O12" s="7">
        <f t="shared" si="10"/>
        <v>552.63535157041338</v>
      </c>
    </row>
    <row r="13" spans="1:15" x14ac:dyDescent="0.2">
      <c r="A13">
        <f t="shared" si="3"/>
        <v>9</v>
      </c>
      <c r="B13" s="7">
        <f t="shared" si="4"/>
        <v>391.56012478955631</v>
      </c>
      <c r="C13" s="7">
        <f t="shared" si="0"/>
        <v>347.87596470783723</v>
      </c>
      <c r="D13" s="7">
        <f t="shared" si="1"/>
        <v>43.684160081719106</v>
      </c>
      <c r="E13" s="7">
        <f>SUM(C$5:C13)</f>
        <v>3140.5113162782504</v>
      </c>
      <c r="F13" s="7">
        <f>SUM(D$5:D13)</f>
        <v>383.52980682775626</v>
      </c>
      <c r="G13" s="7">
        <f>$D$1-'Amort Schedule - Investor'!F13</f>
        <v>55616.470193172245</v>
      </c>
      <c r="H13" s="11">
        <f t="shared" si="2"/>
        <v>0.99315125344950439</v>
      </c>
      <c r="J13" s="127">
        <f t="shared" si="5"/>
        <v>280</v>
      </c>
      <c r="K13" s="127">
        <f t="shared" si="6"/>
        <v>2520</v>
      </c>
      <c r="L13" s="7">
        <f t="shared" si="7"/>
        <v>111.56012478955631</v>
      </c>
      <c r="M13" s="7">
        <f t="shared" si="8"/>
        <v>1004.0411231060068</v>
      </c>
      <c r="N13" s="7">
        <f t="shared" si="9"/>
        <v>67.875964707837227</v>
      </c>
      <c r="O13" s="7">
        <f t="shared" si="10"/>
        <v>620.51131627825066</v>
      </c>
    </row>
    <row r="14" spans="1:15" x14ac:dyDescent="0.2">
      <c r="A14">
        <f t="shared" si="3"/>
        <v>10</v>
      </c>
      <c r="B14" s="7">
        <f t="shared" si="4"/>
        <v>391.56012478955631</v>
      </c>
      <c r="C14" s="7">
        <f t="shared" si="0"/>
        <v>347.60293870732647</v>
      </c>
      <c r="D14" s="7">
        <f t="shared" si="1"/>
        <v>43.95718608222986</v>
      </c>
      <c r="E14" s="7">
        <f>SUM(C$5:C14)</f>
        <v>3488.1142549855767</v>
      </c>
      <c r="F14" s="7">
        <f>SUM(D$5:D14)</f>
        <v>427.4869929099861</v>
      </c>
      <c r="G14" s="7">
        <f>$D$1-'Amort Schedule - Investor'!F14</f>
        <v>55572.513007090012</v>
      </c>
      <c r="H14" s="11">
        <f t="shared" si="2"/>
        <v>0.99236630369803591</v>
      </c>
      <c r="J14" s="127">
        <f t="shared" si="5"/>
        <v>280</v>
      </c>
      <c r="K14" s="127">
        <f t="shared" si="6"/>
        <v>2800</v>
      </c>
      <c r="L14" s="7">
        <f t="shared" si="7"/>
        <v>111.56012478955631</v>
      </c>
      <c r="M14" s="7">
        <f t="shared" si="8"/>
        <v>1115.6012478955631</v>
      </c>
      <c r="N14" s="7">
        <f t="shared" si="9"/>
        <v>67.602938707326473</v>
      </c>
      <c r="O14" s="7">
        <f t="shared" si="10"/>
        <v>688.11425498557719</v>
      </c>
    </row>
    <row r="15" spans="1:15" x14ac:dyDescent="0.2">
      <c r="A15">
        <f t="shared" si="3"/>
        <v>11</v>
      </c>
      <c r="B15" s="7">
        <f t="shared" si="4"/>
        <v>391.56012478955631</v>
      </c>
      <c r="C15" s="7">
        <f t="shared" si="0"/>
        <v>347.32820629431257</v>
      </c>
      <c r="D15" s="7">
        <f t="shared" si="1"/>
        <v>44.231918495243789</v>
      </c>
      <c r="E15" s="7">
        <f>SUM(C$5:C15)</f>
        <v>3835.4424612798894</v>
      </c>
      <c r="F15" s="7">
        <f>SUM(D$5:D15)</f>
        <v>471.7189114052299</v>
      </c>
      <c r="G15" s="7">
        <f>$D$1-'Amort Schedule - Investor'!F15</f>
        <v>55528.281088594769</v>
      </c>
      <c r="H15" s="11">
        <f t="shared" si="2"/>
        <v>0.99157644801062084</v>
      </c>
      <c r="J15" s="127">
        <f t="shared" si="5"/>
        <v>280</v>
      </c>
      <c r="K15" s="127">
        <f t="shared" si="6"/>
        <v>3080</v>
      </c>
      <c r="L15" s="7">
        <f t="shared" si="7"/>
        <v>111.56012478955631</v>
      </c>
      <c r="M15" s="7">
        <f t="shared" si="8"/>
        <v>1227.1613726851194</v>
      </c>
      <c r="N15" s="7">
        <f t="shared" si="9"/>
        <v>67.328206294312565</v>
      </c>
      <c r="O15" s="7">
        <f t="shared" si="10"/>
        <v>755.44246127988981</v>
      </c>
    </row>
    <row r="16" spans="1:15" s="6" customFormat="1" x14ac:dyDescent="0.2">
      <c r="A16" s="6">
        <f t="shared" si="3"/>
        <v>12</v>
      </c>
      <c r="B16" s="128">
        <f t="shared" si="4"/>
        <v>391.56012478955631</v>
      </c>
      <c r="C16" s="128">
        <f t="shared" si="0"/>
        <v>347.0517568037173</v>
      </c>
      <c r="D16" s="128">
        <f t="shared" si="1"/>
        <v>44.508367985839044</v>
      </c>
      <c r="E16" s="128">
        <f>SUM(C$5:C16)</f>
        <v>4182.4942180836069</v>
      </c>
      <c r="F16" s="128">
        <f>SUM(D$5:D16)</f>
        <v>516.22727939106892</v>
      </c>
      <c r="G16" s="128">
        <f>$D$1-'Amort Schedule - Investor'!F16</f>
        <v>55483.772720608933</v>
      </c>
      <c r="H16" s="124">
        <f t="shared" si="2"/>
        <v>0.99078165572515953</v>
      </c>
      <c r="J16" s="131">
        <f t="shared" si="5"/>
        <v>280</v>
      </c>
      <c r="K16" s="131">
        <f t="shared" si="6"/>
        <v>3360</v>
      </c>
      <c r="L16" s="128">
        <f t="shared" si="7"/>
        <v>111.56012478955631</v>
      </c>
      <c r="M16" s="128">
        <f t="shared" si="8"/>
        <v>1338.7214974746757</v>
      </c>
      <c r="N16" s="128">
        <f t="shared" si="9"/>
        <v>67.051756803717296</v>
      </c>
      <c r="O16" s="128">
        <f t="shared" si="10"/>
        <v>822.49421808360717</v>
      </c>
    </row>
    <row r="17" spans="1:15" x14ac:dyDescent="0.2">
      <c r="A17">
        <f t="shared" si="3"/>
        <v>13</v>
      </c>
      <c r="B17" s="7">
        <f t="shared" si="4"/>
        <v>391.56012478955631</v>
      </c>
      <c r="C17" s="7">
        <f t="shared" si="0"/>
        <v>346.77357950380582</v>
      </c>
      <c r="D17" s="7">
        <f t="shared" si="1"/>
        <v>44.786545285750542</v>
      </c>
      <c r="E17" s="7">
        <f>SUM(C$5:C17)</f>
        <v>4529.267797587413</v>
      </c>
      <c r="F17" s="7">
        <f>SUM(D$5:D17)</f>
        <v>561.01382467681947</v>
      </c>
      <c r="G17" s="7">
        <f>$D$1-'Amort Schedule - Investor'!F17</f>
        <v>55438.986175323182</v>
      </c>
      <c r="H17" s="11">
        <f t="shared" si="2"/>
        <v>0.98998189598791397</v>
      </c>
      <c r="J17" s="127">
        <f t="shared" si="5"/>
        <v>280</v>
      </c>
      <c r="K17" s="127">
        <f t="shared" si="6"/>
        <v>3640</v>
      </c>
      <c r="L17" s="7">
        <f t="shared" si="7"/>
        <v>111.56012478955631</v>
      </c>
      <c r="M17" s="7">
        <f t="shared" si="8"/>
        <v>1450.2816222642321</v>
      </c>
      <c r="N17" s="7">
        <f t="shared" si="9"/>
        <v>66.77357950380582</v>
      </c>
      <c r="O17" s="7">
        <f t="shared" si="10"/>
        <v>889.26779758741304</v>
      </c>
    </row>
    <row r="18" spans="1:15" x14ac:dyDescent="0.2">
      <c r="A18">
        <f t="shared" si="3"/>
        <v>14</v>
      </c>
      <c r="B18" s="7">
        <f t="shared" si="4"/>
        <v>391.56012478955631</v>
      </c>
      <c r="C18" s="7">
        <f t="shared" si="0"/>
        <v>346.49366359576987</v>
      </c>
      <c r="D18" s="7">
        <f t="shared" si="1"/>
        <v>45.066461193786481</v>
      </c>
      <c r="E18" s="7">
        <f>SUM(C$5:C18)</f>
        <v>4875.7614611831832</v>
      </c>
      <c r="F18" s="7">
        <f>SUM(D$5:D18)</f>
        <v>606.08028587060596</v>
      </c>
      <c r="G18" s="7">
        <f>$D$1-'Amort Schedule - Investor'!F18</f>
        <v>55393.919714129392</v>
      </c>
      <c r="H18" s="11">
        <f t="shared" si="2"/>
        <v>0.98917713775231053</v>
      </c>
      <c r="J18" s="127">
        <f t="shared" si="5"/>
        <v>280</v>
      </c>
      <c r="K18" s="127">
        <f t="shared" si="6"/>
        <v>3920</v>
      </c>
      <c r="L18" s="7">
        <f t="shared" si="7"/>
        <v>111.56012478955631</v>
      </c>
      <c r="M18" s="7">
        <f t="shared" si="8"/>
        <v>1561.8417470537884</v>
      </c>
      <c r="N18" s="7">
        <f t="shared" si="9"/>
        <v>66.493663595769874</v>
      </c>
      <c r="O18" s="7">
        <f t="shared" si="10"/>
        <v>955.76146118318297</v>
      </c>
    </row>
    <row r="19" spans="1:15" x14ac:dyDescent="0.2">
      <c r="A19">
        <f t="shared" si="3"/>
        <v>15</v>
      </c>
      <c r="B19" s="7">
        <f t="shared" si="4"/>
        <v>391.56012478955631</v>
      </c>
      <c r="C19" s="7">
        <f t="shared" si="0"/>
        <v>346.21199821330868</v>
      </c>
      <c r="D19" s="7">
        <f t="shared" si="1"/>
        <v>45.348126576247644</v>
      </c>
      <c r="E19" s="7">
        <f>SUM(C$5:C19)</f>
        <v>5221.9734593964922</v>
      </c>
      <c r="F19" s="7">
        <f>SUM(D$5:D19)</f>
        <v>651.4284124468536</v>
      </c>
      <c r="G19" s="7">
        <f>$D$1-'Amort Schedule - Investor'!F19</f>
        <v>55348.571587553146</v>
      </c>
      <c r="H19" s="11">
        <f t="shared" si="2"/>
        <v>0.98836734977773477</v>
      </c>
      <c r="J19" s="127">
        <f t="shared" si="5"/>
        <v>280</v>
      </c>
      <c r="K19" s="127">
        <f t="shared" si="6"/>
        <v>4200</v>
      </c>
      <c r="L19" s="7">
        <f t="shared" si="7"/>
        <v>111.56012478955631</v>
      </c>
      <c r="M19" s="7">
        <f t="shared" si="8"/>
        <v>1673.4018718433447</v>
      </c>
      <c r="N19" s="7">
        <f t="shared" si="9"/>
        <v>66.211998213308675</v>
      </c>
      <c r="O19" s="7">
        <f t="shared" si="10"/>
        <v>1021.9734593964916</v>
      </c>
    </row>
    <row r="20" spans="1:15" x14ac:dyDescent="0.2">
      <c r="A20">
        <f t="shared" si="3"/>
        <v>16</v>
      </c>
      <c r="B20" s="7">
        <f t="shared" si="4"/>
        <v>391.56012478955631</v>
      </c>
      <c r="C20" s="7">
        <f t="shared" si="0"/>
        <v>345.92857242220714</v>
      </c>
      <c r="D20" s="7">
        <f t="shared" si="1"/>
        <v>45.631552367349194</v>
      </c>
      <c r="E20" s="7">
        <f>SUM(C$5:C20)</f>
        <v>5567.9020318186995</v>
      </c>
      <c r="F20" s="7">
        <f>SUM(D$5:D20)</f>
        <v>697.05996481420277</v>
      </c>
      <c r="G20" s="7">
        <f>$D$1-'Amort Schedule - Investor'!F20</f>
        <v>55302.940035185798</v>
      </c>
      <c r="H20" s="11">
        <f t="shared" si="2"/>
        <v>0.98755250062831779</v>
      </c>
      <c r="J20" s="127">
        <f t="shared" si="5"/>
        <v>280</v>
      </c>
      <c r="K20" s="127">
        <f t="shared" si="6"/>
        <v>4480</v>
      </c>
      <c r="L20" s="7">
        <f t="shared" si="7"/>
        <v>111.56012478955631</v>
      </c>
      <c r="M20" s="7">
        <f t="shared" si="8"/>
        <v>1784.961996632901</v>
      </c>
      <c r="N20" s="7">
        <f t="shared" si="9"/>
        <v>65.928572422207139</v>
      </c>
      <c r="O20" s="7">
        <f t="shared" si="10"/>
        <v>1087.9020318186988</v>
      </c>
    </row>
    <row r="21" spans="1:15" x14ac:dyDescent="0.2">
      <c r="A21">
        <f t="shared" si="3"/>
        <v>17</v>
      </c>
      <c r="B21" s="7">
        <f t="shared" si="4"/>
        <v>391.56012478955631</v>
      </c>
      <c r="C21" s="7">
        <f t="shared" si="0"/>
        <v>345.64337521991121</v>
      </c>
      <c r="D21" s="7">
        <f t="shared" si="1"/>
        <v>45.916749569645127</v>
      </c>
      <c r="E21" s="7">
        <f>SUM(C$5:C21)</f>
        <v>5913.5454070386104</v>
      </c>
      <c r="F21" s="7">
        <f>SUM(D$5:D21)</f>
        <v>742.97671438384793</v>
      </c>
      <c r="G21" s="7">
        <f>$D$1-'Amort Schedule - Investor'!F21</f>
        <v>55257.023285616153</v>
      </c>
      <c r="H21" s="11">
        <f t="shared" si="2"/>
        <v>0.98673255867171705</v>
      </c>
      <c r="J21" s="127">
        <f t="shared" si="5"/>
        <v>280</v>
      </c>
      <c r="K21" s="127">
        <f t="shared" si="6"/>
        <v>4760</v>
      </c>
      <c r="L21" s="7">
        <f t="shared" si="7"/>
        <v>111.56012478955631</v>
      </c>
      <c r="M21" s="7">
        <f t="shared" si="8"/>
        <v>1896.5221214224573</v>
      </c>
      <c r="N21" s="7">
        <f t="shared" si="9"/>
        <v>65.643375219911206</v>
      </c>
      <c r="O21" s="7">
        <f t="shared" si="10"/>
        <v>1153.5454070386099</v>
      </c>
    </row>
    <row r="22" spans="1:15" x14ac:dyDescent="0.2">
      <c r="A22">
        <f t="shared" si="3"/>
        <v>18</v>
      </c>
      <c r="B22" s="7">
        <f t="shared" si="4"/>
        <v>391.56012478955631</v>
      </c>
      <c r="C22" s="7">
        <f t="shared" si="0"/>
        <v>345.35639553510094</v>
      </c>
      <c r="D22" s="7">
        <f t="shared" si="1"/>
        <v>46.203729254455411</v>
      </c>
      <c r="E22" s="7">
        <f>SUM(C$5:C22)</f>
        <v>6258.9018025737114</v>
      </c>
      <c r="F22" s="7">
        <f>SUM(D$5:D22)</f>
        <v>789.18044363830336</v>
      </c>
      <c r="G22" s="7">
        <f>$D$1-'Amort Schedule - Investor'!F22</f>
        <v>55210.819556361697</v>
      </c>
      <c r="H22" s="11">
        <f t="shared" si="2"/>
        <v>0.98590749207788742</v>
      </c>
      <c r="J22" s="127">
        <f t="shared" si="5"/>
        <v>280</v>
      </c>
      <c r="K22" s="127">
        <f t="shared" si="6"/>
        <v>5040</v>
      </c>
      <c r="L22" s="7">
        <f t="shared" si="7"/>
        <v>111.56012478955631</v>
      </c>
      <c r="M22" s="7">
        <f t="shared" si="8"/>
        <v>2008.0822462120136</v>
      </c>
      <c r="N22" s="7">
        <f t="shared" si="9"/>
        <v>65.356395535100944</v>
      </c>
      <c r="O22" s="7">
        <f t="shared" si="10"/>
        <v>1218.9018025737109</v>
      </c>
    </row>
    <row r="23" spans="1:15" x14ac:dyDescent="0.2">
      <c r="A23">
        <f t="shared" si="3"/>
        <v>19</v>
      </c>
      <c r="B23" s="7">
        <f t="shared" si="4"/>
        <v>391.56012478955631</v>
      </c>
      <c r="C23" s="7">
        <f t="shared" si="0"/>
        <v>345.06762222726059</v>
      </c>
      <c r="D23" s="7">
        <f t="shared" si="1"/>
        <v>46.492502562295748</v>
      </c>
      <c r="E23" s="7">
        <f>SUM(C$5:C23)</f>
        <v>6603.9694248009719</v>
      </c>
      <c r="F23" s="7">
        <f>SUM(D$5:D23)</f>
        <v>835.67294620059909</v>
      </c>
      <c r="G23" s="7">
        <f>$D$1-'Amort Schedule - Investor'!F23</f>
        <v>55164.327053799403</v>
      </c>
      <c r="H23" s="11">
        <f t="shared" si="2"/>
        <v>0.98507726881784652</v>
      </c>
      <c r="J23" s="127">
        <f t="shared" si="5"/>
        <v>280</v>
      </c>
      <c r="K23" s="127">
        <f t="shared" si="6"/>
        <v>5320</v>
      </c>
      <c r="L23" s="7">
        <f t="shared" si="7"/>
        <v>111.56012478955631</v>
      </c>
      <c r="M23" s="7">
        <f t="shared" si="8"/>
        <v>2119.6423710015697</v>
      </c>
      <c r="N23" s="7">
        <f t="shared" si="9"/>
        <v>65.067622227260586</v>
      </c>
      <c r="O23" s="7">
        <f t="shared" si="10"/>
        <v>1283.9694248009714</v>
      </c>
    </row>
    <row r="24" spans="1:15" x14ac:dyDescent="0.2">
      <c r="A24">
        <f t="shared" si="3"/>
        <v>20</v>
      </c>
      <c r="B24" s="7">
        <f t="shared" si="4"/>
        <v>391.56012478955631</v>
      </c>
      <c r="C24" s="7">
        <f t="shared" si="0"/>
        <v>344.77704408624618</v>
      </c>
      <c r="D24" s="7">
        <f t="shared" si="1"/>
        <v>46.783080703310098</v>
      </c>
      <c r="E24" s="7">
        <f>SUM(C$5:C24)</f>
        <v>6948.7464688872178</v>
      </c>
      <c r="F24" s="7">
        <f>SUM(D$5:D24)</f>
        <v>882.45602690390922</v>
      </c>
      <c r="G24" s="7">
        <f>$D$1-'Amort Schedule - Investor'!F24</f>
        <v>55117.543973096093</v>
      </c>
      <c r="H24" s="11">
        <f t="shared" si="2"/>
        <v>0.98424185666243025</v>
      </c>
      <c r="J24" s="127">
        <f t="shared" si="5"/>
        <v>280</v>
      </c>
      <c r="K24" s="127">
        <f t="shared" si="6"/>
        <v>5600</v>
      </c>
      <c r="L24" s="7">
        <f t="shared" si="7"/>
        <v>111.56012478955631</v>
      </c>
      <c r="M24" s="7">
        <f t="shared" si="8"/>
        <v>2231.2024957911262</v>
      </c>
      <c r="N24" s="7">
        <f t="shared" si="9"/>
        <v>64.777044086246178</v>
      </c>
      <c r="O24" s="7">
        <f t="shared" si="10"/>
        <v>1348.7464688872176</v>
      </c>
    </row>
    <row r="25" spans="1:15" x14ac:dyDescent="0.2">
      <c r="A25">
        <f t="shared" si="3"/>
        <v>21</v>
      </c>
      <c r="B25" s="7">
        <f t="shared" si="4"/>
        <v>391.56012478955631</v>
      </c>
      <c r="C25" s="7">
        <f t="shared" si="0"/>
        <v>344.4846498318505</v>
      </c>
      <c r="D25" s="7">
        <f t="shared" si="1"/>
        <v>47.075474957705801</v>
      </c>
      <c r="E25" s="7">
        <f>SUM(C$5:C25)</f>
        <v>7293.231118719068</v>
      </c>
      <c r="F25" s="7">
        <f>SUM(D$5:D25)</f>
        <v>929.53150186161497</v>
      </c>
      <c r="G25" s="7">
        <f>$D$1-'Amort Schedule - Investor'!F25</f>
        <v>55070.468498138383</v>
      </c>
      <c r="H25" s="11">
        <f t="shared" si="2"/>
        <v>0.98340122318104262</v>
      </c>
      <c r="J25" s="127">
        <f t="shared" si="5"/>
        <v>280</v>
      </c>
      <c r="K25" s="127">
        <f t="shared" si="6"/>
        <v>5880</v>
      </c>
      <c r="L25" s="7">
        <f t="shared" si="7"/>
        <v>111.56012478955631</v>
      </c>
      <c r="M25" s="7">
        <f t="shared" si="8"/>
        <v>2342.7626205806828</v>
      </c>
      <c r="N25" s="7">
        <f t="shared" si="9"/>
        <v>64.484649831850504</v>
      </c>
      <c r="O25" s="7">
        <f t="shared" si="10"/>
        <v>1413.231118719068</v>
      </c>
    </row>
    <row r="26" spans="1:15" x14ac:dyDescent="0.2">
      <c r="A26">
        <f t="shared" si="3"/>
        <v>22</v>
      </c>
      <c r="B26" s="7">
        <f t="shared" si="4"/>
        <v>391.56012478955631</v>
      </c>
      <c r="C26" s="7">
        <f t="shared" si="0"/>
        <v>344.19042811336487</v>
      </c>
      <c r="D26" s="7">
        <f t="shared" si="1"/>
        <v>47.369696676191452</v>
      </c>
      <c r="E26" s="7">
        <f>SUM(C$5:C26)</f>
        <v>7637.4215468324328</v>
      </c>
      <c r="F26" s="7">
        <f>SUM(D$5:D26)</f>
        <v>976.90119853780641</v>
      </c>
      <c r="G26" s="7">
        <f>$D$1-'Amort Schedule - Investor'!F26</f>
        <v>55023.098801462191</v>
      </c>
      <c r="H26" s="11">
        <f t="shared" si="2"/>
        <v>0.98255533574039622</v>
      </c>
      <c r="J26" s="127">
        <f t="shared" si="5"/>
        <v>280</v>
      </c>
      <c r="K26" s="127">
        <f t="shared" si="6"/>
        <v>6160</v>
      </c>
      <c r="L26" s="7">
        <f t="shared" si="7"/>
        <v>111.56012478955631</v>
      </c>
      <c r="M26" s="7">
        <f t="shared" si="8"/>
        <v>2454.3227453702393</v>
      </c>
      <c r="N26" s="7">
        <f t="shared" si="9"/>
        <v>64.190428113364874</v>
      </c>
      <c r="O26" s="7">
        <f t="shared" si="10"/>
        <v>1477.4215468324328</v>
      </c>
    </row>
    <row r="27" spans="1:15" x14ac:dyDescent="0.2">
      <c r="A27">
        <f t="shared" si="3"/>
        <v>23</v>
      </c>
      <c r="B27" s="7">
        <f t="shared" si="4"/>
        <v>391.56012478955631</v>
      </c>
      <c r="C27" s="7">
        <f t="shared" si="0"/>
        <v>343.89436750913865</v>
      </c>
      <c r="D27" s="7">
        <f t="shared" si="1"/>
        <v>47.665757280417651</v>
      </c>
      <c r="E27" s="7">
        <f>SUM(C$5:C27)</f>
        <v>7981.3159143415714</v>
      </c>
      <c r="F27" s="7">
        <f>SUM(D$5:D27)</f>
        <v>1024.566955818224</v>
      </c>
      <c r="G27" s="7">
        <f>$D$1-'Amort Schedule - Investor'!F27</f>
        <v>54975.433044181773</v>
      </c>
      <c r="H27" s="11">
        <f t="shared" si="2"/>
        <v>0.98170416150324591</v>
      </c>
      <c r="J27" s="127">
        <f t="shared" si="5"/>
        <v>280</v>
      </c>
      <c r="K27" s="127">
        <f t="shared" si="6"/>
        <v>6440</v>
      </c>
      <c r="L27" s="7">
        <f t="shared" si="7"/>
        <v>111.56012478955631</v>
      </c>
      <c r="M27" s="7">
        <f t="shared" si="8"/>
        <v>2565.8828701597959</v>
      </c>
      <c r="N27" s="7">
        <f t="shared" si="9"/>
        <v>63.894367509138647</v>
      </c>
      <c r="O27" s="7">
        <f t="shared" si="10"/>
        <v>1541.3159143415714</v>
      </c>
    </row>
    <row r="28" spans="1:15" s="6" customFormat="1" x14ac:dyDescent="0.2">
      <c r="A28" s="6">
        <f t="shared" si="3"/>
        <v>24</v>
      </c>
      <c r="B28" s="128">
        <f t="shared" si="4"/>
        <v>391.56012478955631</v>
      </c>
      <c r="C28" s="128">
        <f t="shared" si="0"/>
        <v>343.59645652613602</v>
      </c>
      <c r="D28" s="128">
        <f t="shared" si="1"/>
        <v>47.96366826342026</v>
      </c>
      <c r="E28" s="128">
        <f>SUM(C$5:C28)</f>
        <v>8324.9123708677071</v>
      </c>
      <c r="F28" s="128">
        <f>SUM(D$5:D28)</f>
        <v>1072.5306240816442</v>
      </c>
      <c r="G28" s="128">
        <f>$D$1-'Amort Schedule - Investor'!F28</f>
        <v>54927.469375918357</v>
      </c>
      <c r="H28" s="124">
        <f t="shared" si="2"/>
        <v>0.98084766742711349</v>
      </c>
      <c r="J28" s="131">
        <f t="shared" si="5"/>
        <v>280</v>
      </c>
      <c r="K28" s="131">
        <f t="shared" si="6"/>
        <v>6720</v>
      </c>
      <c r="L28" s="128">
        <f t="shared" si="7"/>
        <v>111.56012478955631</v>
      </c>
      <c r="M28" s="128">
        <f t="shared" si="8"/>
        <v>2677.4429949493524</v>
      </c>
      <c r="N28" s="128">
        <f t="shared" si="9"/>
        <v>63.596456526136024</v>
      </c>
      <c r="O28" s="128">
        <f t="shared" si="10"/>
        <v>1604.9123708677075</v>
      </c>
    </row>
    <row r="29" spans="1:15" x14ac:dyDescent="0.2">
      <c r="A29">
        <f t="shared" si="3"/>
        <v>25</v>
      </c>
      <c r="B29" s="7">
        <f t="shared" si="4"/>
        <v>391.56012478955631</v>
      </c>
      <c r="C29" s="7">
        <f t="shared" si="0"/>
        <v>343.29668359948965</v>
      </c>
      <c r="D29" s="7">
        <f t="shared" si="1"/>
        <v>48.263441190066636</v>
      </c>
      <c r="E29" s="7">
        <f>SUM(C$5:C29)</f>
        <v>8668.2090544671973</v>
      </c>
      <c r="F29" s="7">
        <f>SUM(D$5:D29)</f>
        <v>1120.7940652717109</v>
      </c>
      <c r="G29" s="7">
        <f>$D$1-'Amort Schedule - Investor'!F29</f>
        <v>54879.205934728292</v>
      </c>
      <c r="H29" s="11">
        <f t="shared" si="2"/>
        <v>0.97998582026300518</v>
      </c>
      <c r="J29" s="127">
        <f t="shared" si="5"/>
        <v>280</v>
      </c>
      <c r="K29" s="127">
        <f t="shared" si="6"/>
        <v>7000</v>
      </c>
      <c r="L29" s="7">
        <f t="shared" si="7"/>
        <v>111.56012478955631</v>
      </c>
      <c r="M29" s="7">
        <f t="shared" si="8"/>
        <v>2789.0031197389089</v>
      </c>
      <c r="N29" s="7">
        <f t="shared" si="9"/>
        <v>63.296683599489654</v>
      </c>
      <c r="O29" s="7">
        <f t="shared" si="10"/>
        <v>1668.2090544671971</v>
      </c>
    </row>
    <row r="30" spans="1:15" x14ac:dyDescent="0.2">
      <c r="A30">
        <f t="shared" si="3"/>
        <v>26</v>
      </c>
      <c r="B30" s="7">
        <f t="shared" si="4"/>
        <v>391.56012478955631</v>
      </c>
      <c r="C30" s="7">
        <f t="shared" si="0"/>
        <v>342.99503709205175</v>
      </c>
      <c r="D30" s="7">
        <f t="shared" si="1"/>
        <v>48.565087697504559</v>
      </c>
      <c r="E30" s="7">
        <f>SUM(C$5:C30)</f>
        <v>9011.2040915592497</v>
      </c>
      <c r="F30" s="7">
        <f>SUM(D$5:D30)</f>
        <v>1169.3591529692155</v>
      </c>
      <c r="G30" s="7">
        <f>$D$1-'Amort Schedule - Investor'!F30</f>
        <v>54830.640847030787</v>
      </c>
      <c r="H30" s="11">
        <f t="shared" si="2"/>
        <v>0.97911858655412121</v>
      </c>
      <c r="J30" s="127">
        <f t="shared" si="5"/>
        <v>280</v>
      </c>
      <c r="K30" s="127">
        <f t="shared" si="6"/>
        <v>7280</v>
      </c>
      <c r="L30" s="7">
        <f t="shared" si="7"/>
        <v>111.56012478955631</v>
      </c>
      <c r="M30" s="7">
        <f t="shared" si="8"/>
        <v>2900.5632445284655</v>
      </c>
      <c r="N30" s="7">
        <f t="shared" si="9"/>
        <v>62.995037092051746</v>
      </c>
      <c r="O30" s="7">
        <f t="shared" si="10"/>
        <v>1731.2040915592488</v>
      </c>
    </row>
    <row r="31" spans="1:15" x14ac:dyDescent="0.2">
      <c r="A31">
        <f t="shared" si="3"/>
        <v>27</v>
      </c>
      <c r="B31" s="7">
        <f t="shared" si="4"/>
        <v>391.56012478955631</v>
      </c>
      <c r="C31" s="7">
        <f t="shared" si="0"/>
        <v>342.69150529394238</v>
      </c>
      <c r="D31" s="7">
        <f t="shared" si="1"/>
        <v>48.868619495613963</v>
      </c>
      <c r="E31" s="7">
        <f>SUM(C$5:C31)</f>
        <v>9353.8955968531918</v>
      </c>
      <c r="F31" s="7">
        <f>SUM(D$5:D31)</f>
        <v>1218.2277724648295</v>
      </c>
      <c r="G31" s="7">
        <f>$D$1-'Amort Schedule - Investor'!F31</f>
        <v>54781.77222753517</v>
      </c>
      <c r="H31" s="11">
        <f t="shared" si="2"/>
        <v>0.97824593263455661</v>
      </c>
      <c r="J31" s="127">
        <f t="shared" si="5"/>
        <v>280</v>
      </c>
      <c r="K31" s="127">
        <f t="shared" si="6"/>
        <v>7560</v>
      </c>
      <c r="L31" s="7">
        <f t="shared" si="7"/>
        <v>111.56012478955631</v>
      </c>
      <c r="M31" s="7">
        <f t="shared" si="8"/>
        <v>3012.123369318022</v>
      </c>
      <c r="N31" s="7">
        <f t="shared" si="9"/>
        <v>62.691505293942384</v>
      </c>
      <c r="O31" s="7">
        <f t="shared" si="10"/>
        <v>1793.8955968531911</v>
      </c>
    </row>
    <row r="32" spans="1:15" x14ac:dyDescent="0.2">
      <c r="A32">
        <f t="shared" si="3"/>
        <v>28</v>
      </c>
      <c r="B32" s="7">
        <f t="shared" si="4"/>
        <v>391.56012478955631</v>
      </c>
      <c r="C32" s="7">
        <f t="shared" si="0"/>
        <v>342.38607642209479</v>
      </c>
      <c r="D32" s="7">
        <f t="shared" si="1"/>
        <v>49.174048367461545</v>
      </c>
      <c r="E32" s="7">
        <f>SUM(C$5:C32)</f>
        <v>9696.2816732752872</v>
      </c>
      <c r="F32" s="7">
        <f>SUM(D$5:D32)</f>
        <v>1267.4018208322912</v>
      </c>
      <c r="G32" s="7">
        <f>$D$1-'Amort Schedule - Investor'!F32</f>
        <v>54732.598179167711</v>
      </c>
      <c r="H32" s="11">
        <f t="shared" si="2"/>
        <v>0.97736782462799487</v>
      </c>
      <c r="J32" s="127">
        <f t="shared" si="5"/>
        <v>280</v>
      </c>
      <c r="K32" s="127">
        <f t="shared" si="6"/>
        <v>7840</v>
      </c>
      <c r="L32" s="7">
        <f t="shared" si="7"/>
        <v>111.56012478955631</v>
      </c>
      <c r="M32" s="7">
        <f t="shared" si="8"/>
        <v>3123.6834941075786</v>
      </c>
      <c r="N32" s="7">
        <f t="shared" si="9"/>
        <v>62.386076422094789</v>
      </c>
      <c r="O32" s="7">
        <f t="shared" si="10"/>
        <v>1856.2816732752858</v>
      </c>
    </row>
    <row r="33" spans="1:15" x14ac:dyDescent="0.2">
      <c r="A33">
        <f t="shared" si="3"/>
        <v>29</v>
      </c>
      <c r="B33" s="7">
        <f t="shared" si="4"/>
        <v>391.56012478955631</v>
      </c>
      <c r="C33" s="7">
        <f t="shared" si="0"/>
        <v>342.07873861979812</v>
      </c>
      <c r="D33" s="7">
        <f t="shared" si="1"/>
        <v>49.481386169758188</v>
      </c>
      <c r="E33" s="7">
        <f>SUM(C$5:C33)</f>
        <v>10038.360411895086</v>
      </c>
      <c r="F33" s="7">
        <f>SUM(D$5:D33)</f>
        <v>1316.8832070020494</v>
      </c>
      <c r="G33" s="7">
        <f>$D$1-'Amort Schedule - Investor'!F33</f>
        <v>54683.116792997949</v>
      </c>
      <c r="H33" s="11">
        <f t="shared" si="2"/>
        <v>0.97648422844639193</v>
      </c>
      <c r="J33" s="127">
        <f t="shared" si="5"/>
        <v>280</v>
      </c>
      <c r="K33" s="127">
        <f t="shared" si="6"/>
        <v>8120</v>
      </c>
      <c r="L33" s="7">
        <f t="shared" si="7"/>
        <v>111.56012478955631</v>
      </c>
      <c r="M33" s="7">
        <f t="shared" si="8"/>
        <v>3235.2436188971351</v>
      </c>
      <c r="N33" s="7">
        <f t="shared" si="9"/>
        <v>62.078738619798116</v>
      </c>
      <c r="O33" s="7">
        <f t="shared" si="10"/>
        <v>1918.3604118950839</v>
      </c>
    </row>
    <row r="34" spans="1:15" x14ac:dyDescent="0.2">
      <c r="A34">
        <f t="shared" si="3"/>
        <v>30</v>
      </c>
      <c r="B34" s="7">
        <f t="shared" si="4"/>
        <v>391.56012478955631</v>
      </c>
      <c r="C34" s="7">
        <f t="shared" si="0"/>
        <v>341.76947995623715</v>
      </c>
      <c r="D34" s="7">
        <f t="shared" si="1"/>
        <v>49.790644833319178</v>
      </c>
      <c r="E34" s="7">
        <f>SUM(C$5:C34)</f>
        <v>10380.129891851324</v>
      </c>
      <c r="F34" s="7">
        <f>SUM(D$5:D34)</f>
        <v>1366.6738518353686</v>
      </c>
      <c r="G34" s="7">
        <f>$D$1-'Amort Schedule - Investor'!F34</f>
        <v>54633.326148164633</v>
      </c>
      <c r="H34" s="11">
        <f t="shared" si="2"/>
        <v>0.97559510978865416</v>
      </c>
      <c r="J34" s="127">
        <f t="shared" si="5"/>
        <v>280</v>
      </c>
      <c r="K34" s="127">
        <f t="shared" si="6"/>
        <v>8400</v>
      </c>
      <c r="L34" s="7">
        <f t="shared" si="7"/>
        <v>111.56012478955631</v>
      </c>
      <c r="M34" s="7">
        <f t="shared" si="8"/>
        <v>3346.8037436866916</v>
      </c>
      <c r="N34" s="7">
        <f t="shared" si="9"/>
        <v>61.769479956237149</v>
      </c>
      <c r="O34" s="7">
        <f t="shared" si="10"/>
        <v>1980.129891851321</v>
      </c>
    </row>
    <row r="35" spans="1:15" x14ac:dyDescent="0.2">
      <c r="A35">
        <f t="shared" si="3"/>
        <v>31</v>
      </c>
      <c r="B35" s="7">
        <f t="shared" si="4"/>
        <v>391.56012478955631</v>
      </c>
      <c r="C35" s="7">
        <f t="shared" si="0"/>
        <v>341.45828842602896</v>
      </c>
      <c r="D35" s="7">
        <f t="shared" si="1"/>
        <v>50.101836363527418</v>
      </c>
      <c r="E35" s="7">
        <f>SUM(C$5:C35)</f>
        <v>10721.588180277353</v>
      </c>
      <c r="F35" s="7">
        <f>SUM(D$5:D35)</f>
        <v>1416.775688198896</v>
      </c>
      <c r="G35" s="7">
        <f>$D$1-'Amort Schedule - Investor'!F35</f>
        <v>54583.224311801103</v>
      </c>
      <c r="H35" s="11">
        <f t="shared" si="2"/>
        <v>0.9747004341393054</v>
      </c>
      <c r="J35" s="127">
        <f t="shared" si="5"/>
        <v>280</v>
      </c>
      <c r="K35" s="127">
        <f t="shared" si="6"/>
        <v>8680</v>
      </c>
      <c r="L35" s="7">
        <f t="shared" si="7"/>
        <v>111.56012478955631</v>
      </c>
      <c r="M35" s="7">
        <f t="shared" si="8"/>
        <v>3458.3638684762482</v>
      </c>
      <c r="N35" s="7">
        <f t="shared" si="9"/>
        <v>61.458288426028957</v>
      </c>
      <c r="O35" s="7">
        <f t="shared" si="10"/>
        <v>2041.5881802773499</v>
      </c>
    </row>
    <row r="36" spans="1:15" x14ac:dyDescent="0.2">
      <c r="A36">
        <f t="shared" si="3"/>
        <v>32</v>
      </c>
      <c r="B36" s="7">
        <f t="shared" si="4"/>
        <v>391.56012478955631</v>
      </c>
      <c r="C36" s="7">
        <f t="shared" si="0"/>
        <v>341.14515194875685</v>
      </c>
      <c r="D36" s="7">
        <f t="shared" si="1"/>
        <v>50.414972840799464</v>
      </c>
      <c r="E36" s="7">
        <f>SUM(C$5:C36)</f>
        <v>11062.733332226109</v>
      </c>
      <c r="F36" s="7">
        <f>SUM(D$5:D36)</f>
        <v>1467.1906610396954</v>
      </c>
      <c r="G36" s="7">
        <f>$D$1-'Amort Schedule - Investor'!F36</f>
        <v>54532.809338960302</v>
      </c>
      <c r="H36" s="11">
        <f t="shared" si="2"/>
        <v>0.9738001667671482</v>
      </c>
      <c r="J36" s="127">
        <f t="shared" si="5"/>
        <v>280</v>
      </c>
      <c r="K36" s="127">
        <f t="shared" si="6"/>
        <v>8960</v>
      </c>
      <c r="L36" s="7">
        <f t="shared" si="7"/>
        <v>111.56012478955631</v>
      </c>
      <c r="M36" s="7">
        <f t="shared" si="8"/>
        <v>3569.9239932658047</v>
      </c>
      <c r="N36" s="7">
        <f t="shared" si="9"/>
        <v>61.145151948756848</v>
      </c>
      <c r="O36" s="7">
        <f t="shared" si="10"/>
        <v>2102.7333322261065</v>
      </c>
    </row>
    <row r="37" spans="1:15" x14ac:dyDescent="0.2">
      <c r="A37">
        <f t="shared" si="3"/>
        <v>33</v>
      </c>
      <c r="B37" s="7">
        <f t="shared" si="4"/>
        <v>391.56012478955631</v>
      </c>
      <c r="C37" s="7">
        <f t="shared" si="0"/>
        <v>340.83005836850185</v>
      </c>
      <c r="D37" s="7">
        <f t="shared" si="1"/>
        <v>50.730066421054467</v>
      </c>
      <c r="E37" s="7">
        <f>SUM(C$5:C37)</f>
        <v>11403.563390594611</v>
      </c>
      <c r="F37" s="7">
        <f>SUM(D$5:D37)</f>
        <v>1517.92072746075</v>
      </c>
      <c r="G37" s="7">
        <f>$D$1-'Amort Schedule - Investor'!F37</f>
        <v>54482.079272539253</v>
      </c>
      <c r="H37" s="11">
        <f t="shared" si="2"/>
        <v>0.97289427272391527</v>
      </c>
      <c r="J37" s="127">
        <f t="shared" si="5"/>
        <v>280</v>
      </c>
      <c r="K37" s="127">
        <f t="shared" si="6"/>
        <v>9240</v>
      </c>
      <c r="L37" s="7">
        <f t="shared" si="7"/>
        <v>111.56012478955631</v>
      </c>
      <c r="M37" s="7">
        <f t="shared" si="8"/>
        <v>3681.4841180553613</v>
      </c>
      <c r="N37" s="7">
        <f t="shared" si="9"/>
        <v>60.830058368501852</v>
      </c>
      <c r="O37" s="7">
        <f t="shared" si="10"/>
        <v>2163.5633905946083</v>
      </c>
    </row>
    <row r="38" spans="1:15" x14ac:dyDescent="0.2">
      <c r="A38">
        <f t="shared" si="3"/>
        <v>34</v>
      </c>
      <c r="B38" s="7">
        <f t="shared" si="4"/>
        <v>391.56012478955631</v>
      </c>
      <c r="C38" s="7">
        <f t="shared" si="0"/>
        <v>340.51299545337031</v>
      </c>
      <c r="D38" s="7">
        <f t="shared" si="1"/>
        <v>51.047129336186053</v>
      </c>
      <c r="E38" s="7">
        <f>SUM(C$5:C38)</f>
        <v>11744.07638604798</v>
      </c>
      <c r="F38" s="7">
        <f>SUM(D$5:D38)</f>
        <v>1568.9678567969361</v>
      </c>
      <c r="G38" s="7">
        <f>$D$1-'Amort Schedule - Investor'!F38</f>
        <v>54431.032143203061</v>
      </c>
      <c r="H38" s="11">
        <f t="shared" si="2"/>
        <v>0.97198271684291182</v>
      </c>
      <c r="J38" s="127">
        <f t="shared" si="5"/>
        <v>280</v>
      </c>
      <c r="K38" s="127">
        <f t="shared" si="6"/>
        <v>9520</v>
      </c>
      <c r="L38" s="7">
        <f t="shared" si="7"/>
        <v>111.56012478955631</v>
      </c>
      <c r="M38" s="7">
        <f t="shared" si="8"/>
        <v>3793.0442428449178</v>
      </c>
      <c r="N38" s="7">
        <f t="shared" si="9"/>
        <v>60.512995453370308</v>
      </c>
      <c r="O38" s="7">
        <f t="shared" si="10"/>
        <v>2224.0763860479788</v>
      </c>
    </row>
    <row r="39" spans="1:15" x14ac:dyDescent="0.2">
      <c r="A39">
        <f t="shared" si="3"/>
        <v>35</v>
      </c>
      <c r="B39" s="7">
        <f t="shared" si="4"/>
        <v>391.56012478955631</v>
      </c>
      <c r="C39" s="7">
        <f t="shared" si="0"/>
        <v>340.1939508950191</v>
      </c>
      <c r="D39" s="7">
        <f t="shared" si="1"/>
        <v>51.366173894537219</v>
      </c>
      <c r="E39" s="7">
        <f>SUM(C$5:C39)</f>
        <v>12084.270336943</v>
      </c>
      <c r="F39" s="7">
        <f>SUM(D$5:D39)</f>
        <v>1620.3340306914733</v>
      </c>
      <c r="G39" s="7">
        <f>$D$1-'Amort Schedule - Investor'!F39</f>
        <v>54379.665969308524</v>
      </c>
      <c r="H39" s="11">
        <f t="shared" si="2"/>
        <v>0.97106546373765223</v>
      </c>
      <c r="J39" s="127">
        <f t="shared" si="5"/>
        <v>280</v>
      </c>
      <c r="K39" s="127">
        <f t="shared" si="6"/>
        <v>9800</v>
      </c>
      <c r="L39" s="7">
        <f t="shared" si="7"/>
        <v>111.56012478955631</v>
      </c>
      <c r="M39" s="7">
        <f t="shared" si="8"/>
        <v>3904.6043676344743</v>
      </c>
      <c r="N39" s="7">
        <f t="shared" si="9"/>
        <v>60.1939508950191</v>
      </c>
      <c r="O39" s="7">
        <f t="shared" si="10"/>
        <v>2284.2703369429978</v>
      </c>
    </row>
    <row r="40" spans="1:15" s="6" customFormat="1" x14ac:dyDescent="0.2">
      <c r="A40" s="6">
        <f t="shared" si="3"/>
        <v>36</v>
      </c>
      <c r="B40" s="128">
        <f t="shared" si="4"/>
        <v>391.56012478955631</v>
      </c>
      <c r="C40" s="128">
        <f t="shared" si="0"/>
        <v>339.87291230817823</v>
      </c>
      <c r="D40" s="128">
        <f t="shared" si="1"/>
        <v>51.687212481378076</v>
      </c>
      <c r="E40" s="128">
        <f>SUM(C$5:C40)</f>
        <v>12424.143249251178</v>
      </c>
      <c r="F40" s="128">
        <f>SUM(D$5:D40)</f>
        <v>1672.0212431728514</v>
      </c>
      <c r="G40" s="128">
        <f>$D$1-'Amort Schedule - Investor'!F40</f>
        <v>54327.978756827149</v>
      </c>
      <c r="H40" s="124">
        <f t="shared" si="2"/>
        <v>0.97014247780048479</v>
      </c>
      <c r="J40" s="131">
        <f t="shared" si="5"/>
        <v>280</v>
      </c>
      <c r="K40" s="131">
        <f t="shared" si="6"/>
        <v>10080</v>
      </c>
      <c r="L40" s="128">
        <f t="shared" si="7"/>
        <v>111.56012478955631</v>
      </c>
      <c r="M40" s="128">
        <f t="shared" si="8"/>
        <v>4016.1644924240309</v>
      </c>
      <c r="N40" s="128">
        <f t="shared" si="9"/>
        <v>59.872912308178229</v>
      </c>
      <c r="O40" s="128">
        <f t="shared" si="10"/>
        <v>2344.1432492511758</v>
      </c>
    </row>
    <row r="41" spans="1:15" x14ac:dyDescent="0.2">
      <c r="A41">
        <f t="shared" si="3"/>
        <v>37</v>
      </c>
      <c r="B41" s="7">
        <f t="shared" si="4"/>
        <v>391.56012478955631</v>
      </c>
      <c r="C41" s="7">
        <f t="shared" si="0"/>
        <v>339.54986723016964</v>
      </c>
      <c r="D41" s="7">
        <f t="shared" si="1"/>
        <v>52.010257559386694</v>
      </c>
      <c r="E41" s="7">
        <f>SUM(C$5:C41)</f>
        <v>12763.693116481347</v>
      </c>
      <c r="F41" s="7">
        <f>SUM(D$5:D41)</f>
        <v>1724.0315007322381</v>
      </c>
      <c r="G41" s="7">
        <f>$D$1-'Amort Schedule - Investor'!F41</f>
        <v>54275.968499267765</v>
      </c>
      <c r="H41" s="11">
        <f t="shared" si="2"/>
        <v>0.96921372320121013</v>
      </c>
      <c r="J41" s="127">
        <f t="shared" si="5"/>
        <v>280</v>
      </c>
      <c r="K41" s="127">
        <f t="shared" si="6"/>
        <v>10360</v>
      </c>
      <c r="L41" s="7">
        <f t="shared" si="7"/>
        <v>111.56012478955631</v>
      </c>
      <c r="M41" s="7">
        <f t="shared" si="8"/>
        <v>4127.7246172135874</v>
      </c>
      <c r="N41" s="7">
        <f t="shared" si="9"/>
        <v>59.549867230169639</v>
      </c>
      <c r="O41" s="7">
        <f t="shared" si="10"/>
        <v>2403.6931164813454</v>
      </c>
    </row>
    <row r="42" spans="1:15" x14ac:dyDescent="0.2">
      <c r="A42">
        <f t="shared" si="3"/>
        <v>38</v>
      </c>
      <c r="B42" s="7">
        <f t="shared" si="4"/>
        <v>391.56012478955631</v>
      </c>
      <c r="C42" s="7">
        <f t="shared" si="0"/>
        <v>339.22480312042347</v>
      </c>
      <c r="D42" s="7">
        <f t="shared" si="1"/>
        <v>52.33532166913286</v>
      </c>
      <c r="E42" s="7">
        <f>SUM(C$5:C42)</f>
        <v>13102.91791960177</v>
      </c>
      <c r="F42" s="7">
        <f>SUM(D$5:D42)</f>
        <v>1776.3668224013709</v>
      </c>
      <c r="G42" s="7">
        <f>$D$1-'Amort Schedule - Investor'!F42</f>
        <v>54223.633177598633</v>
      </c>
      <c r="H42" s="11">
        <f t="shared" si="2"/>
        <v>0.96827916388568991</v>
      </c>
      <c r="J42" s="127">
        <f t="shared" si="5"/>
        <v>280</v>
      </c>
      <c r="K42" s="127">
        <f t="shared" si="6"/>
        <v>10640</v>
      </c>
      <c r="L42" s="7">
        <f t="shared" si="7"/>
        <v>111.56012478955631</v>
      </c>
      <c r="M42" s="7">
        <f t="shared" si="8"/>
        <v>4239.2847420031439</v>
      </c>
      <c r="N42" s="7">
        <f t="shared" si="9"/>
        <v>59.224803120423474</v>
      </c>
      <c r="O42" s="7">
        <f t="shared" si="10"/>
        <v>2462.917919601769</v>
      </c>
    </row>
    <row r="43" spans="1:15" x14ac:dyDescent="0.2">
      <c r="A43">
        <f t="shared" si="3"/>
        <v>39</v>
      </c>
      <c r="B43" s="7">
        <f t="shared" si="4"/>
        <v>391.56012478955631</v>
      </c>
      <c r="C43" s="7">
        <f t="shared" si="0"/>
        <v>338.89770735999139</v>
      </c>
      <c r="D43" s="7">
        <f t="shared" si="1"/>
        <v>52.662417429564933</v>
      </c>
      <c r="E43" s="7">
        <f>SUM(C$5:C43)</f>
        <v>13441.815626961761</v>
      </c>
      <c r="F43" s="7">
        <f>SUM(D$5:D43)</f>
        <v>1829.0292398309359</v>
      </c>
      <c r="G43" s="7">
        <f>$D$1-'Amort Schedule - Investor'!F43</f>
        <v>54170.970760169061</v>
      </c>
      <c r="H43" s="11">
        <f t="shared" si="2"/>
        <v>0.96733876357444748</v>
      </c>
      <c r="J43" s="127">
        <f t="shared" si="5"/>
        <v>280</v>
      </c>
      <c r="K43" s="127">
        <f t="shared" si="6"/>
        <v>10920</v>
      </c>
      <c r="L43" s="7">
        <f t="shared" si="7"/>
        <v>111.56012478955631</v>
      </c>
      <c r="M43" s="7">
        <f t="shared" si="8"/>
        <v>4350.8448667927005</v>
      </c>
      <c r="N43" s="7">
        <f t="shared" si="9"/>
        <v>58.897707359991387</v>
      </c>
      <c r="O43" s="7">
        <f t="shared" si="10"/>
        <v>2521.8156269617602</v>
      </c>
    </row>
    <row r="44" spans="1:15" x14ac:dyDescent="0.2">
      <c r="A44">
        <f t="shared" si="3"/>
        <v>40</v>
      </c>
      <c r="B44" s="7">
        <f t="shared" si="4"/>
        <v>391.56012478955631</v>
      </c>
      <c r="C44" s="7">
        <f t="shared" si="0"/>
        <v>338.56856725105661</v>
      </c>
      <c r="D44" s="7">
        <f t="shared" si="1"/>
        <v>52.991557538499727</v>
      </c>
      <c r="E44" s="7">
        <f>SUM(C$5:C44)</f>
        <v>13780.384194212818</v>
      </c>
      <c r="F44" s="7">
        <f>SUM(D$5:D44)</f>
        <v>1882.0207973694357</v>
      </c>
      <c r="G44" s="7">
        <f>$D$1-'Amort Schedule - Investor'!F44</f>
        <v>54117.979202630566</v>
      </c>
      <c r="H44" s="11">
        <f t="shared" si="2"/>
        <v>0.96639248576126013</v>
      </c>
      <c r="J44" s="127">
        <f t="shared" si="5"/>
        <v>280</v>
      </c>
      <c r="K44" s="127">
        <f t="shared" si="6"/>
        <v>11200</v>
      </c>
      <c r="L44" s="7">
        <f t="shared" si="7"/>
        <v>111.56012478955631</v>
      </c>
      <c r="M44" s="7">
        <f t="shared" si="8"/>
        <v>4462.404991582257</v>
      </c>
      <c r="N44" s="7">
        <f t="shared" si="9"/>
        <v>58.568567251056606</v>
      </c>
      <c r="O44" s="7">
        <f t="shared" si="10"/>
        <v>2580.384194212817</v>
      </c>
    </row>
    <row r="45" spans="1:15" x14ac:dyDescent="0.2">
      <c r="A45">
        <f t="shared" si="3"/>
        <v>41</v>
      </c>
      <c r="B45" s="7">
        <f t="shared" si="4"/>
        <v>391.56012478955631</v>
      </c>
      <c r="C45" s="7">
        <f t="shared" si="0"/>
        <v>338.23737001644099</v>
      </c>
      <c r="D45" s="7">
        <f t="shared" si="1"/>
        <v>53.322754773115342</v>
      </c>
      <c r="E45" s="7">
        <f>SUM(C$5:C45)</f>
        <v>14118.621564229259</v>
      </c>
      <c r="F45" s="7">
        <f>SUM(D$5:D45)</f>
        <v>1935.3435521425511</v>
      </c>
      <c r="G45" s="7">
        <f>$D$1-'Amort Schedule - Investor'!F45</f>
        <v>54064.656447857451</v>
      </c>
      <c r="H45" s="11">
        <f t="shared" si="2"/>
        <v>0.96544029371174023</v>
      </c>
      <c r="J45" s="127">
        <f t="shared" si="5"/>
        <v>280</v>
      </c>
      <c r="K45" s="127">
        <f t="shared" si="6"/>
        <v>11480</v>
      </c>
      <c r="L45" s="7">
        <f t="shared" si="7"/>
        <v>111.56012478955631</v>
      </c>
      <c r="M45" s="7">
        <f t="shared" si="8"/>
        <v>4573.9651163718136</v>
      </c>
      <c r="N45" s="7">
        <f t="shared" si="9"/>
        <v>58.237370016440991</v>
      </c>
      <c r="O45" s="7">
        <f t="shared" si="10"/>
        <v>2638.6215642292582</v>
      </c>
    </row>
    <row r="46" spans="1:15" x14ac:dyDescent="0.2">
      <c r="A46">
        <f t="shared" si="3"/>
        <v>42</v>
      </c>
      <c r="B46" s="7">
        <f t="shared" si="4"/>
        <v>391.56012478955631</v>
      </c>
      <c r="C46" s="7">
        <f t="shared" si="0"/>
        <v>337.90410279910907</v>
      </c>
      <c r="D46" s="7">
        <f t="shared" si="1"/>
        <v>53.656021990447321</v>
      </c>
      <c r="E46" s="7">
        <f>SUM(C$5:C46)</f>
        <v>14456.525667028369</v>
      </c>
      <c r="F46" s="7">
        <f>SUM(D$5:D46)</f>
        <v>1988.9995741329983</v>
      </c>
      <c r="G46" s="7">
        <f>$D$1-'Amort Schedule - Investor'!F46</f>
        <v>54011.000425867001</v>
      </c>
      <c r="H46" s="11">
        <f t="shared" si="2"/>
        <v>0.96448215046191077</v>
      </c>
      <c r="J46" s="127">
        <f t="shared" si="5"/>
        <v>280</v>
      </c>
      <c r="K46" s="127">
        <f t="shared" si="6"/>
        <v>11760</v>
      </c>
      <c r="L46" s="7">
        <f t="shared" si="7"/>
        <v>111.56012478955631</v>
      </c>
      <c r="M46" s="7">
        <f t="shared" si="8"/>
        <v>4685.5252411613701</v>
      </c>
      <c r="N46" s="7">
        <f t="shared" si="9"/>
        <v>57.904102799109069</v>
      </c>
      <c r="O46" s="7">
        <f t="shared" si="10"/>
        <v>2696.525667028367</v>
      </c>
    </row>
    <row r="47" spans="1:15" x14ac:dyDescent="0.2">
      <c r="A47">
        <f t="shared" si="3"/>
        <v>43</v>
      </c>
      <c r="B47" s="7">
        <f t="shared" si="4"/>
        <v>391.56012478955631</v>
      </c>
      <c r="C47" s="7">
        <f t="shared" si="0"/>
        <v>337.56875266166873</v>
      </c>
      <c r="D47" s="7">
        <f t="shared" si="1"/>
        <v>53.991372127887608</v>
      </c>
      <c r="E47" s="7">
        <f>SUM(C$5:C47)</f>
        <v>14794.094419690038</v>
      </c>
      <c r="F47" s="7">
        <f>SUM(D$5:D47)</f>
        <v>2042.9909462608859</v>
      </c>
      <c r="G47" s="7">
        <f>$D$1-'Amort Schedule - Investor'!F47</f>
        <v>53957.009053739115</v>
      </c>
      <c r="H47" s="11">
        <f t="shared" si="2"/>
        <v>0.96351801881676991</v>
      </c>
      <c r="J47" s="127">
        <f t="shared" si="5"/>
        <v>280</v>
      </c>
      <c r="K47" s="127">
        <f t="shared" si="6"/>
        <v>12040</v>
      </c>
      <c r="L47" s="7">
        <f t="shared" si="7"/>
        <v>111.56012478955631</v>
      </c>
      <c r="M47" s="7">
        <f t="shared" si="8"/>
        <v>4797.0853659509266</v>
      </c>
      <c r="N47" s="7">
        <f t="shared" si="9"/>
        <v>57.568752661668725</v>
      </c>
      <c r="O47" s="7">
        <f t="shared" si="10"/>
        <v>2754.0944196900359</v>
      </c>
    </row>
    <row r="48" spans="1:15" x14ac:dyDescent="0.2">
      <c r="A48">
        <f t="shared" si="3"/>
        <v>44</v>
      </c>
      <c r="B48" s="7">
        <f t="shared" si="4"/>
        <v>391.56012478955631</v>
      </c>
      <c r="C48" s="7">
        <f t="shared" si="0"/>
        <v>337.23130658586945</v>
      </c>
      <c r="D48" s="7">
        <f t="shared" si="1"/>
        <v>54.328818203686907</v>
      </c>
      <c r="E48" s="7">
        <f>SUM(C$5:C48)</f>
        <v>15131.325726275907</v>
      </c>
      <c r="F48" s="7">
        <f>SUM(D$5:D48)</f>
        <v>2097.3197644645729</v>
      </c>
      <c r="G48" s="7">
        <f>$D$1-'Amort Schedule - Investor'!F48</f>
        <v>53902.68023553543</v>
      </c>
      <c r="H48" s="11">
        <f t="shared" si="2"/>
        <v>0.96254786134884696</v>
      </c>
      <c r="J48" s="127">
        <f t="shared" si="5"/>
        <v>280</v>
      </c>
      <c r="K48" s="127">
        <f t="shared" si="6"/>
        <v>12320</v>
      </c>
      <c r="L48" s="7">
        <f t="shared" si="7"/>
        <v>111.56012478955631</v>
      </c>
      <c r="M48" s="7">
        <f t="shared" si="8"/>
        <v>4908.6454907404832</v>
      </c>
      <c r="N48" s="7">
        <f t="shared" si="9"/>
        <v>57.231306585869447</v>
      </c>
      <c r="O48" s="7">
        <f t="shared" si="10"/>
        <v>2811.3257262759053</v>
      </c>
    </row>
    <row r="49" spans="1:15" x14ac:dyDescent="0.2">
      <c r="A49">
        <f t="shared" si="3"/>
        <v>45</v>
      </c>
      <c r="B49" s="7">
        <f t="shared" si="4"/>
        <v>391.56012478955631</v>
      </c>
      <c r="C49" s="7">
        <f t="shared" si="0"/>
        <v>336.89175147209636</v>
      </c>
      <c r="D49" s="7">
        <f t="shared" si="1"/>
        <v>54.668373317459945</v>
      </c>
      <c r="E49" s="7">
        <f>SUM(C$5:C49)</f>
        <v>15468.217477748003</v>
      </c>
      <c r="F49" s="7">
        <f>SUM(D$5:D49)</f>
        <v>2151.9881377820329</v>
      </c>
      <c r="G49" s="7">
        <f>$D$1-'Amort Schedule - Investor'!F49</f>
        <v>53848.011862217965</v>
      </c>
      <c r="H49" s="11">
        <f t="shared" si="2"/>
        <v>0.96157164039674936</v>
      </c>
      <c r="J49" s="127">
        <f t="shared" si="5"/>
        <v>280</v>
      </c>
      <c r="K49" s="127">
        <f t="shared" si="6"/>
        <v>12600</v>
      </c>
      <c r="L49" s="7">
        <f t="shared" si="7"/>
        <v>111.56012478955631</v>
      </c>
      <c r="M49" s="7">
        <f t="shared" si="8"/>
        <v>5020.2056155300397</v>
      </c>
      <c r="N49" s="7">
        <f t="shared" si="9"/>
        <v>56.89175147209636</v>
      </c>
      <c r="O49" s="7">
        <f t="shared" si="10"/>
        <v>2868.2174777480018</v>
      </c>
    </row>
    <row r="50" spans="1:15" x14ac:dyDescent="0.2">
      <c r="A50">
        <f t="shared" si="3"/>
        <v>46</v>
      </c>
      <c r="B50" s="7">
        <f t="shared" si="4"/>
        <v>391.56012478955631</v>
      </c>
      <c r="C50" s="7">
        <f t="shared" si="0"/>
        <v>336.55007413886227</v>
      </c>
      <c r="D50" s="7">
        <f t="shared" si="1"/>
        <v>55.010050650694069</v>
      </c>
      <c r="E50" s="7">
        <f>SUM(C$5:C50)</f>
        <v>15804.767551886865</v>
      </c>
      <c r="F50" s="7">
        <f>SUM(D$5:D50)</f>
        <v>2206.9981884327271</v>
      </c>
      <c r="G50" s="7">
        <f>$D$1-'Amort Schedule - Investor'!F50</f>
        <v>53793.001811567272</v>
      </c>
      <c r="H50" s="11">
        <f t="shared" si="2"/>
        <v>0.96058931806370129</v>
      </c>
      <c r="J50" s="127">
        <f t="shared" si="5"/>
        <v>280</v>
      </c>
      <c r="K50" s="127">
        <f t="shared" si="6"/>
        <v>12880</v>
      </c>
      <c r="L50" s="7">
        <f t="shared" si="7"/>
        <v>111.56012478955631</v>
      </c>
      <c r="M50" s="7">
        <f t="shared" si="8"/>
        <v>5131.7657403195963</v>
      </c>
      <c r="N50" s="7">
        <f t="shared" si="9"/>
        <v>56.550074138862271</v>
      </c>
      <c r="O50" s="7">
        <f t="shared" si="10"/>
        <v>2924.7675518868641</v>
      </c>
    </row>
    <row r="51" spans="1:15" x14ac:dyDescent="0.2">
      <c r="A51">
        <f t="shared" si="3"/>
        <v>47</v>
      </c>
      <c r="B51" s="7">
        <f t="shared" si="4"/>
        <v>391.56012478955631</v>
      </c>
      <c r="C51" s="7">
        <f t="shared" si="0"/>
        <v>336.2062613222954</v>
      </c>
      <c r="D51" s="7">
        <f t="shared" si="1"/>
        <v>55.353863467260901</v>
      </c>
      <c r="E51" s="7">
        <f>SUM(C$5:C51)</f>
        <v>16140.973813209161</v>
      </c>
      <c r="F51" s="7">
        <f>SUM(D$5:D51)</f>
        <v>2262.3520518999881</v>
      </c>
      <c r="G51" s="7">
        <f>$D$1-'Amort Schedule - Investor'!F51</f>
        <v>53737.647948100013</v>
      </c>
      <c r="H51" s="11">
        <f t="shared" si="2"/>
        <v>0.95960085621607172</v>
      </c>
      <c r="J51" s="127">
        <f t="shared" si="5"/>
        <v>280</v>
      </c>
      <c r="K51" s="127">
        <f t="shared" si="6"/>
        <v>13160</v>
      </c>
      <c r="L51" s="7">
        <f t="shared" si="7"/>
        <v>111.56012478955631</v>
      </c>
      <c r="M51" s="7">
        <f t="shared" si="8"/>
        <v>5243.3258651091528</v>
      </c>
      <c r="N51" s="7">
        <f t="shared" si="9"/>
        <v>56.206261322295404</v>
      </c>
      <c r="O51" s="7">
        <f t="shared" si="10"/>
        <v>2980.9738132091597</v>
      </c>
    </row>
    <row r="52" spans="1:15" s="6" customFormat="1" x14ac:dyDescent="0.2">
      <c r="A52" s="6">
        <f t="shared" si="3"/>
        <v>48</v>
      </c>
      <c r="B52" s="128">
        <f t="shared" si="4"/>
        <v>391.56012478955631</v>
      </c>
      <c r="C52" s="128">
        <f t="shared" si="0"/>
        <v>335.86029967562501</v>
      </c>
      <c r="D52" s="128">
        <f t="shared" si="1"/>
        <v>55.699825113931283</v>
      </c>
      <c r="E52" s="128">
        <f>SUM(C$5:C52)</f>
        <v>16476.834112884786</v>
      </c>
      <c r="F52" s="128">
        <f>SUM(D$5:D52)</f>
        <v>2318.0518770139192</v>
      </c>
      <c r="G52" s="128">
        <f>$D$1-'Amort Schedule - Investor'!F52</f>
        <v>53681.948122986083</v>
      </c>
      <c r="H52" s="124">
        <f t="shared" si="2"/>
        <v>0.95860621648189437</v>
      </c>
      <c r="J52" s="131">
        <f t="shared" si="5"/>
        <v>280</v>
      </c>
      <c r="K52" s="131">
        <f t="shared" si="6"/>
        <v>13440</v>
      </c>
      <c r="L52" s="128">
        <f t="shared" si="7"/>
        <v>111.56012478955631</v>
      </c>
      <c r="M52" s="128">
        <f t="shared" si="8"/>
        <v>5354.8859898987093</v>
      </c>
      <c r="N52" s="128">
        <f t="shared" si="9"/>
        <v>55.860299675625015</v>
      </c>
      <c r="O52" s="128">
        <f t="shared" si="10"/>
        <v>3036.8341128847846</v>
      </c>
    </row>
    <row r="53" spans="1:15" x14ac:dyDescent="0.2">
      <c r="A53">
        <f t="shared" si="3"/>
        <v>49</v>
      </c>
      <c r="B53" s="7">
        <f t="shared" si="4"/>
        <v>391.56012478955631</v>
      </c>
      <c r="C53" s="7">
        <f t="shared" si="0"/>
        <v>335.51217576866298</v>
      </c>
      <c r="D53" s="7">
        <f t="shared" si="1"/>
        <v>56.047949020893348</v>
      </c>
      <c r="E53" s="7">
        <f>SUM(C$5:C53)</f>
        <v>16812.346288653451</v>
      </c>
      <c r="F53" s="7">
        <f>SUM(D$5:D53)</f>
        <v>2374.0998260348124</v>
      </c>
      <c r="G53" s="7">
        <f>$D$1-'Amort Schedule - Investor'!F53</f>
        <v>53625.900173965187</v>
      </c>
      <c r="H53" s="11">
        <f t="shared" si="2"/>
        <v>0.95760536024937837</v>
      </c>
      <c r="J53" s="127">
        <f t="shared" si="5"/>
        <v>280</v>
      </c>
      <c r="K53" s="127">
        <f t="shared" si="6"/>
        <v>13720</v>
      </c>
      <c r="L53" s="7">
        <f t="shared" si="7"/>
        <v>111.56012478955631</v>
      </c>
      <c r="M53" s="7">
        <f t="shared" si="8"/>
        <v>5466.4461146882659</v>
      </c>
      <c r="N53" s="7">
        <f t="shared" si="9"/>
        <v>55.512175768662985</v>
      </c>
      <c r="O53" s="7">
        <f t="shared" si="10"/>
        <v>3092.3462886534476</v>
      </c>
    </row>
    <row r="54" spans="1:15" x14ac:dyDescent="0.2">
      <c r="A54">
        <f t="shared" si="3"/>
        <v>50</v>
      </c>
      <c r="B54" s="7">
        <f t="shared" si="4"/>
        <v>391.56012478955631</v>
      </c>
      <c r="C54" s="7">
        <f t="shared" si="0"/>
        <v>335.16187608728239</v>
      </c>
      <c r="D54" s="7">
        <f t="shared" si="1"/>
        <v>56.398248702273939</v>
      </c>
      <c r="E54" s="7">
        <f>SUM(C$5:C54)</f>
        <v>17147.508164740731</v>
      </c>
      <c r="F54" s="7">
        <f>SUM(D$5:D54)</f>
        <v>2430.4980747370864</v>
      </c>
      <c r="G54" s="7">
        <f>$D$1-'Amort Schedule - Investor'!F54</f>
        <v>53569.501925262914</v>
      </c>
      <c r="H54" s="11">
        <f t="shared" si="2"/>
        <v>0.95659824866540921</v>
      </c>
      <c r="J54" s="127">
        <f t="shared" si="5"/>
        <v>280</v>
      </c>
      <c r="K54" s="127">
        <f t="shared" si="6"/>
        <v>14000</v>
      </c>
      <c r="L54" s="7">
        <f t="shared" si="7"/>
        <v>111.56012478955631</v>
      </c>
      <c r="M54" s="7">
        <f t="shared" si="8"/>
        <v>5578.0062394778224</v>
      </c>
      <c r="N54" s="7">
        <f t="shared" si="9"/>
        <v>55.161876087282394</v>
      </c>
      <c r="O54" s="7">
        <f t="shared" si="10"/>
        <v>3147.5081647407301</v>
      </c>
    </row>
    <row r="55" spans="1:15" x14ac:dyDescent="0.2">
      <c r="A55">
        <f t="shared" si="3"/>
        <v>51</v>
      </c>
      <c r="B55" s="7">
        <f t="shared" si="4"/>
        <v>391.56012478955631</v>
      </c>
      <c r="C55" s="7">
        <f t="shared" si="0"/>
        <v>334.80938703289314</v>
      </c>
      <c r="D55" s="7">
        <f t="shared" si="1"/>
        <v>56.750737756663156</v>
      </c>
      <c r="E55" s="7">
        <f>SUM(C$5:C55)</f>
        <v>17482.317551773624</v>
      </c>
      <c r="F55" s="7">
        <f>SUM(D$5:D55)</f>
        <v>2487.2488124937495</v>
      </c>
      <c r="G55" s="7">
        <f>$D$1-'Amort Schedule - Investor'!F55</f>
        <v>53512.751187506248</v>
      </c>
      <c r="H55" s="11">
        <f t="shared" si="2"/>
        <v>0.9555848426340402</v>
      </c>
      <c r="J55" s="127">
        <f t="shared" si="5"/>
        <v>280</v>
      </c>
      <c r="K55" s="127">
        <f t="shared" si="6"/>
        <v>14280</v>
      </c>
      <c r="L55" s="7">
        <f t="shared" si="7"/>
        <v>111.56012478955631</v>
      </c>
      <c r="M55" s="7">
        <f t="shared" si="8"/>
        <v>5689.566364267379</v>
      </c>
      <c r="N55" s="7">
        <f t="shared" si="9"/>
        <v>54.809387032893142</v>
      </c>
      <c r="O55" s="7">
        <f t="shared" si="10"/>
        <v>3202.3175517736231</v>
      </c>
    </row>
    <row r="56" spans="1:15" x14ac:dyDescent="0.2">
      <c r="A56">
        <f t="shared" si="3"/>
        <v>52</v>
      </c>
      <c r="B56" s="7">
        <f t="shared" si="4"/>
        <v>391.56012478955631</v>
      </c>
      <c r="C56" s="7">
        <f t="shared" si="0"/>
        <v>334.45469492191404</v>
      </c>
      <c r="D56" s="7">
        <f t="shared" si="1"/>
        <v>57.1054298676423</v>
      </c>
      <c r="E56" s="7">
        <f>SUM(C$5:C56)</f>
        <v>17816.772246695538</v>
      </c>
      <c r="F56" s="7">
        <f>SUM(D$5:D56)</f>
        <v>2544.3542423613917</v>
      </c>
      <c r="G56" s="7">
        <f>$D$1-'Amort Schedule - Investor'!F56</f>
        <v>53455.645757638609</v>
      </c>
      <c r="H56" s="11">
        <f t="shared" si="2"/>
        <v>0.9545651028149752</v>
      </c>
      <c r="J56" s="127">
        <f t="shared" si="5"/>
        <v>280</v>
      </c>
      <c r="K56" s="127">
        <f t="shared" si="6"/>
        <v>14560</v>
      </c>
      <c r="L56" s="7">
        <f t="shared" si="7"/>
        <v>111.56012478955631</v>
      </c>
      <c r="M56" s="7">
        <f t="shared" si="8"/>
        <v>5801.1264890569355</v>
      </c>
      <c r="N56" s="7">
        <f t="shared" si="9"/>
        <v>54.45469492191404</v>
      </c>
      <c r="O56" s="7">
        <f t="shared" si="10"/>
        <v>3256.772246695537</v>
      </c>
    </row>
    <row r="57" spans="1:15" x14ac:dyDescent="0.2">
      <c r="A57">
        <f t="shared" si="3"/>
        <v>53</v>
      </c>
      <c r="B57" s="7">
        <f t="shared" si="4"/>
        <v>391.56012478955631</v>
      </c>
      <c r="C57" s="7">
        <f t="shared" si="0"/>
        <v>334.09778598524127</v>
      </c>
      <c r="D57" s="7">
        <f t="shared" si="1"/>
        <v>57.46233880431506</v>
      </c>
      <c r="E57" s="7">
        <f>SUM(C$5:C57)</f>
        <v>18150.870032680781</v>
      </c>
      <c r="F57" s="7">
        <f>SUM(D$5:D57)</f>
        <v>2601.8165811657068</v>
      </c>
      <c r="G57" s="7">
        <f>$D$1-'Amort Schedule - Investor'!F57</f>
        <v>53398.183418834291</v>
      </c>
      <c r="H57" s="11">
        <f t="shared" si="2"/>
        <v>0.95353898962204087</v>
      </c>
      <c r="J57" s="127">
        <f t="shared" si="5"/>
        <v>280</v>
      </c>
      <c r="K57" s="127">
        <f t="shared" si="6"/>
        <v>14840</v>
      </c>
      <c r="L57" s="7">
        <f t="shared" si="7"/>
        <v>111.56012478955631</v>
      </c>
      <c r="M57" s="7">
        <f t="shared" si="8"/>
        <v>5912.686613846492</v>
      </c>
      <c r="N57" s="7">
        <f t="shared" si="9"/>
        <v>54.097785985241273</v>
      </c>
      <c r="O57" s="7">
        <f t="shared" si="10"/>
        <v>3310.8700326807784</v>
      </c>
    </row>
    <row r="58" spans="1:15" x14ac:dyDescent="0.2">
      <c r="A58">
        <f t="shared" si="3"/>
        <v>54</v>
      </c>
      <c r="B58" s="7">
        <f t="shared" si="4"/>
        <v>391.56012478955631</v>
      </c>
      <c r="C58" s="7">
        <f t="shared" si="0"/>
        <v>333.7386463677143</v>
      </c>
      <c r="D58" s="7">
        <f t="shared" si="1"/>
        <v>57.821478421842038</v>
      </c>
      <c r="E58" s="7">
        <f>SUM(C$5:C58)</f>
        <v>18484.608679048495</v>
      </c>
      <c r="F58" s="7">
        <f>SUM(D$5:D58)</f>
        <v>2659.6380595875489</v>
      </c>
      <c r="G58" s="7">
        <f>$D$1-'Amort Schedule - Investor'!F58</f>
        <v>53340.361940412447</v>
      </c>
      <c r="H58" s="11">
        <f t="shared" si="2"/>
        <v>0.95250646322165089</v>
      </c>
      <c r="J58" s="127">
        <f t="shared" si="5"/>
        <v>280</v>
      </c>
      <c r="K58" s="127">
        <f t="shared" si="6"/>
        <v>15120</v>
      </c>
      <c r="L58" s="7">
        <f t="shared" si="7"/>
        <v>111.56012478955631</v>
      </c>
      <c r="M58" s="7">
        <f t="shared" si="8"/>
        <v>6024.2467386360486</v>
      </c>
      <c r="N58" s="7">
        <f t="shared" si="9"/>
        <v>53.738646367714296</v>
      </c>
      <c r="O58" s="7">
        <f t="shared" si="10"/>
        <v>3364.6086790484928</v>
      </c>
    </row>
    <row r="59" spans="1:15" x14ac:dyDescent="0.2">
      <c r="A59">
        <f t="shared" si="3"/>
        <v>55</v>
      </c>
      <c r="B59" s="7">
        <f t="shared" si="4"/>
        <v>391.56012478955631</v>
      </c>
      <c r="C59" s="7">
        <f t="shared" si="0"/>
        <v>333.37726212757775</v>
      </c>
      <c r="D59" s="7">
        <f t="shared" si="1"/>
        <v>58.182862661978547</v>
      </c>
      <c r="E59" s="7">
        <f>SUM(C$5:C59)</f>
        <v>18817.985941176074</v>
      </c>
      <c r="F59" s="7">
        <f>SUM(D$5:D59)</f>
        <v>2717.8209222495275</v>
      </c>
      <c r="G59" s="7">
        <f>$D$1-'Amort Schedule - Investor'!F59</f>
        <v>53282.179077750472</v>
      </c>
      <c r="H59" s="11">
        <f t="shared" si="2"/>
        <v>0.95146748353125843</v>
      </c>
      <c r="J59" s="127">
        <f t="shared" si="5"/>
        <v>280</v>
      </c>
      <c r="K59" s="127">
        <f t="shared" si="6"/>
        <v>15400</v>
      </c>
      <c r="L59" s="7">
        <f t="shared" si="7"/>
        <v>111.56012478955631</v>
      </c>
      <c r="M59" s="7">
        <f t="shared" si="8"/>
        <v>6135.8068634256051</v>
      </c>
      <c r="N59" s="7">
        <f t="shared" si="9"/>
        <v>53.377262127577751</v>
      </c>
      <c r="O59" s="7">
        <f t="shared" si="10"/>
        <v>3417.9859411760708</v>
      </c>
    </row>
    <row r="60" spans="1:15" x14ac:dyDescent="0.2">
      <c r="A60">
        <f t="shared" si="3"/>
        <v>56</v>
      </c>
      <c r="B60" s="7">
        <f t="shared" si="4"/>
        <v>391.56012478955631</v>
      </c>
      <c r="C60" s="7">
        <f t="shared" si="0"/>
        <v>333.01361923594044</v>
      </c>
      <c r="D60" s="7">
        <f t="shared" si="1"/>
        <v>58.546505553615916</v>
      </c>
      <c r="E60" s="7">
        <f>SUM(C$5:C60)</f>
        <v>19150.999560412012</v>
      </c>
      <c r="F60" s="7">
        <f>SUM(D$5:D60)</f>
        <v>2776.3674278031435</v>
      </c>
      <c r="G60" s="7">
        <f>$D$1-'Amort Schedule - Investor'!F60</f>
        <v>53223.632572196853</v>
      </c>
      <c r="H60" s="11">
        <f t="shared" si="2"/>
        <v>0.95042201021780093</v>
      </c>
      <c r="J60" s="127">
        <f t="shared" si="5"/>
        <v>280</v>
      </c>
      <c r="K60" s="127">
        <f t="shared" si="6"/>
        <v>15680</v>
      </c>
      <c r="L60" s="7">
        <f t="shared" si="7"/>
        <v>111.56012478955631</v>
      </c>
      <c r="M60" s="7">
        <f t="shared" si="8"/>
        <v>6247.3669882151617</v>
      </c>
      <c r="N60" s="7">
        <f t="shared" si="9"/>
        <v>53.013619235940439</v>
      </c>
      <c r="O60" s="7">
        <f t="shared" si="10"/>
        <v>3470.9995604120113</v>
      </c>
    </row>
    <row r="61" spans="1:15" x14ac:dyDescent="0.2">
      <c r="A61">
        <f t="shared" si="3"/>
        <v>57</v>
      </c>
      <c r="B61" s="7">
        <f t="shared" si="4"/>
        <v>391.56012478955631</v>
      </c>
      <c r="C61" s="7">
        <f t="shared" si="0"/>
        <v>332.64770357623036</v>
      </c>
      <c r="D61" s="7">
        <f t="shared" si="1"/>
        <v>58.912421213326006</v>
      </c>
      <c r="E61" s="7">
        <f>SUM(C$5:C61)</f>
        <v>19483.647263988241</v>
      </c>
      <c r="F61" s="7">
        <f>SUM(D$5:D61)</f>
        <v>2835.2798490164696</v>
      </c>
      <c r="G61" s="7">
        <f>$D$1-'Amort Schedule - Investor'!F61</f>
        <v>53164.720150983529</v>
      </c>
      <c r="H61" s="11">
        <f t="shared" si="2"/>
        <v>0.94937000269613447</v>
      </c>
      <c r="J61" s="127">
        <f t="shared" si="5"/>
        <v>280</v>
      </c>
      <c r="K61" s="127">
        <f t="shared" si="6"/>
        <v>15960</v>
      </c>
      <c r="L61" s="7">
        <f t="shared" si="7"/>
        <v>111.56012478955631</v>
      </c>
      <c r="M61" s="7">
        <f t="shared" si="8"/>
        <v>6358.9271130047182</v>
      </c>
      <c r="N61" s="7">
        <f t="shared" si="9"/>
        <v>52.647703576230356</v>
      </c>
      <c r="O61" s="7">
        <f t="shared" si="10"/>
        <v>3523.6472639882418</v>
      </c>
    </row>
    <row r="62" spans="1:15" x14ac:dyDescent="0.2">
      <c r="A62">
        <f t="shared" si="3"/>
        <v>58</v>
      </c>
      <c r="B62" s="7">
        <f t="shared" si="4"/>
        <v>391.56012478955631</v>
      </c>
      <c r="C62" s="7">
        <f t="shared" si="0"/>
        <v>332.27950094364701</v>
      </c>
      <c r="D62" s="7">
        <f t="shared" si="1"/>
        <v>59.280623845909297</v>
      </c>
      <c r="E62" s="7">
        <f>SUM(C$5:C62)</f>
        <v>19815.92676493189</v>
      </c>
      <c r="F62" s="7">
        <f>SUM(D$5:D62)</f>
        <v>2894.5604728623789</v>
      </c>
      <c r="G62" s="7">
        <f>$D$1-'Amort Schedule - Investor'!F62</f>
        <v>53105.43952713762</v>
      </c>
      <c r="H62" s="11">
        <f t="shared" si="2"/>
        <v>0.94831142012745751</v>
      </c>
      <c r="J62" s="127">
        <f t="shared" si="5"/>
        <v>280</v>
      </c>
      <c r="K62" s="127">
        <f t="shared" si="6"/>
        <v>16240</v>
      </c>
      <c r="L62" s="7">
        <f t="shared" si="7"/>
        <v>111.56012478955631</v>
      </c>
      <c r="M62" s="7">
        <f t="shared" si="8"/>
        <v>6470.4872377942747</v>
      </c>
      <c r="N62" s="7">
        <f t="shared" si="9"/>
        <v>52.279500943647008</v>
      </c>
      <c r="O62" s="7">
        <f t="shared" si="10"/>
        <v>3575.926764931889</v>
      </c>
    </row>
    <row r="63" spans="1:15" x14ac:dyDescent="0.2">
      <c r="A63">
        <f t="shared" si="3"/>
        <v>59</v>
      </c>
      <c r="B63" s="7">
        <f t="shared" si="4"/>
        <v>391.56012478955631</v>
      </c>
      <c r="C63" s="7">
        <f t="shared" si="0"/>
        <v>331.90899704461009</v>
      </c>
      <c r="D63" s="7">
        <f t="shared" si="1"/>
        <v>59.65112774494623</v>
      </c>
      <c r="E63" s="7">
        <f>SUM(C$5:C63)</f>
        <v>20147.835761976501</v>
      </c>
      <c r="F63" s="7">
        <f>SUM(D$5:D63)</f>
        <v>2954.2116006073252</v>
      </c>
      <c r="G63" s="7">
        <f>$D$1-'Amort Schedule - Investor'!F63</f>
        <v>53045.788399392673</v>
      </c>
      <c r="H63" s="11">
        <f t="shared" si="2"/>
        <v>0.9472462214177263</v>
      </c>
      <c r="J63" s="127">
        <f t="shared" si="5"/>
        <v>280</v>
      </c>
      <c r="K63" s="127">
        <f t="shared" si="6"/>
        <v>16520</v>
      </c>
      <c r="L63" s="7">
        <f t="shared" si="7"/>
        <v>111.56012478955631</v>
      </c>
      <c r="M63" s="7">
        <f t="shared" si="8"/>
        <v>6582.0473625838313</v>
      </c>
      <c r="N63" s="7">
        <f t="shared" si="9"/>
        <v>51.908997044610089</v>
      </c>
      <c r="O63" s="7">
        <f t="shared" si="10"/>
        <v>3627.8357619764993</v>
      </c>
    </row>
    <row r="64" spans="1:15" s="6" customFormat="1" x14ac:dyDescent="0.2">
      <c r="A64" s="6">
        <f t="shared" si="3"/>
        <v>60</v>
      </c>
      <c r="B64" s="128">
        <f t="shared" si="4"/>
        <v>391.56012478955631</v>
      </c>
      <c r="C64" s="128">
        <f t="shared" si="0"/>
        <v>331.53617749620417</v>
      </c>
      <c r="D64" s="128">
        <f t="shared" si="1"/>
        <v>60.023947293352144</v>
      </c>
      <c r="E64" s="128">
        <f>SUM(C$5:C64)</f>
        <v>20479.371939472705</v>
      </c>
      <c r="F64" s="128">
        <f>SUM(D$5:D64)</f>
        <v>3014.2355479006774</v>
      </c>
      <c r="G64" s="128">
        <f>$D$1-'Amort Schedule - Investor'!F64</f>
        <v>52985.76445209932</v>
      </c>
      <c r="H64" s="124">
        <f t="shared" si="2"/>
        <v>0.94617436521605924</v>
      </c>
      <c r="J64" s="131">
        <f t="shared" si="5"/>
        <v>280</v>
      </c>
      <c r="K64" s="131">
        <f t="shared" si="6"/>
        <v>16800</v>
      </c>
      <c r="L64" s="128">
        <f t="shared" si="7"/>
        <v>111.56012478955631</v>
      </c>
      <c r="M64" s="128">
        <f t="shared" si="8"/>
        <v>6693.6074873733878</v>
      </c>
      <c r="N64" s="128">
        <f t="shared" si="9"/>
        <v>51.536177496204175</v>
      </c>
      <c r="O64" s="128">
        <f t="shared" si="10"/>
        <v>3679.3719394727036</v>
      </c>
    </row>
    <row r="65" spans="1:15" x14ac:dyDescent="0.2">
      <c r="A65">
        <f t="shared" si="3"/>
        <v>61</v>
      </c>
      <c r="B65" s="7">
        <f t="shared" si="4"/>
        <v>391.56012478955631</v>
      </c>
      <c r="C65" s="7">
        <f t="shared" si="0"/>
        <v>331.16102782562075</v>
      </c>
      <c r="D65" s="7">
        <f t="shared" si="1"/>
        <v>60.399096963935605</v>
      </c>
      <c r="E65" s="7">
        <f>SUM(C$5:C65)</f>
        <v>20810.532967298324</v>
      </c>
      <c r="F65" s="7">
        <f>SUM(D$5:D65)</f>
        <v>3074.6346448646132</v>
      </c>
      <c r="G65" s="7">
        <f>$D$1-'Amort Schedule - Investor'!F65</f>
        <v>52925.365355135385</v>
      </c>
      <c r="H65" s="11">
        <f t="shared" si="2"/>
        <v>0.94509580991313191</v>
      </c>
      <c r="J65" s="127">
        <f t="shared" si="5"/>
        <v>280</v>
      </c>
      <c r="K65" s="127">
        <f t="shared" si="6"/>
        <v>17080</v>
      </c>
      <c r="L65" s="7">
        <f t="shared" si="7"/>
        <v>111.56012478955631</v>
      </c>
      <c r="M65" s="7">
        <f t="shared" si="8"/>
        <v>6805.1676121629444</v>
      </c>
      <c r="N65" s="7">
        <f t="shared" si="9"/>
        <v>51.161027825620749</v>
      </c>
      <c r="O65" s="7">
        <f t="shared" si="10"/>
        <v>3730.5329672983244</v>
      </c>
    </row>
    <row r="66" spans="1:15" x14ac:dyDescent="0.2">
      <c r="A66">
        <f t="shared" si="3"/>
        <v>62</v>
      </c>
      <c r="B66" s="7">
        <f t="shared" si="4"/>
        <v>391.56012478955631</v>
      </c>
      <c r="C66" s="7">
        <f t="shared" si="0"/>
        <v>330.78353346959614</v>
      </c>
      <c r="D66" s="7">
        <f t="shared" si="1"/>
        <v>60.77659131996019</v>
      </c>
      <c r="E66" s="7">
        <f>SUM(C$5:C66)</f>
        <v>21141.31650076792</v>
      </c>
      <c r="F66" s="7">
        <f>SUM(D$5:D66)</f>
        <v>3135.4112361845732</v>
      </c>
      <c r="G66" s="7">
        <f>$D$1-'Amort Schedule - Investor'!F66</f>
        <v>52864.588763815424</v>
      </c>
      <c r="H66" s="11">
        <f t="shared" si="2"/>
        <v>0.94401051363956112</v>
      </c>
      <c r="J66" s="127">
        <f t="shared" si="5"/>
        <v>280</v>
      </c>
      <c r="K66" s="127">
        <f t="shared" si="6"/>
        <v>17360</v>
      </c>
      <c r="L66" s="7">
        <f t="shared" si="7"/>
        <v>111.56012478955631</v>
      </c>
      <c r="M66" s="7">
        <f t="shared" si="8"/>
        <v>6916.7277369525009</v>
      </c>
      <c r="N66" s="7">
        <f t="shared" si="9"/>
        <v>50.783533469596136</v>
      </c>
      <c r="O66" s="7">
        <f t="shared" si="10"/>
        <v>3781.3165007679204</v>
      </c>
    </row>
    <row r="67" spans="1:15" x14ac:dyDescent="0.2">
      <c r="A67">
        <f t="shared" si="3"/>
        <v>63</v>
      </c>
      <c r="B67" s="7">
        <f t="shared" si="4"/>
        <v>391.56012478955631</v>
      </c>
      <c r="C67" s="7">
        <f t="shared" si="0"/>
        <v>330.40367977384642</v>
      </c>
      <c r="D67" s="7">
        <f t="shared" si="1"/>
        <v>61.156445015709942</v>
      </c>
      <c r="E67" s="7">
        <f>SUM(C$5:C67)</f>
        <v>21471.720180541768</v>
      </c>
      <c r="F67" s="7">
        <f>SUM(D$5:D67)</f>
        <v>3196.567681200283</v>
      </c>
      <c r="G67" s="7">
        <f>$D$1-'Amort Schedule - Investor'!F67</f>
        <v>52803.432318799714</v>
      </c>
      <c r="H67" s="11">
        <f t="shared" si="2"/>
        <v>0.94291843426428057</v>
      </c>
      <c r="J67" s="127">
        <f t="shared" si="5"/>
        <v>280</v>
      </c>
      <c r="K67" s="127">
        <f t="shared" si="6"/>
        <v>17640</v>
      </c>
      <c r="L67" s="7">
        <f t="shared" si="7"/>
        <v>111.56012478955631</v>
      </c>
      <c r="M67" s="7">
        <f t="shared" si="8"/>
        <v>7028.2878617420574</v>
      </c>
      <c r="N67" s="7">
        <f t="shared" si="9"/>
        <v>50.40367977384642</v>
      </c>
      <c r="O67" s="7">
        <f t="shared" si="10"/>
        <v>3831.7201805417667</v>
      </c>
    </row>
    <row r="68" spans="1:15" x14ac:dyDescent="0.2">
      <c r="A68">
        <f t="shared" si="3"/>
        <v>64</v>
      </c>
      <c r="B68" s="7">
        <f t="shared" si="4"/>
        <v>391.56012478955631</v>
      </c>
      <c r="C68" s="7">
        <f t="shared" si="0"/>
        <v>330.02145199249821</v>
      </c>
      <c r="D68" s="7">
        <f t="shared" si="1"/>
        <v>61.53867279705814</v>
      </c>
      <c r="E68" s="7">
        <f>SUM(C$5:C68)</f>
        <v>21801.741632534267</v>
      </c>
      <c r="F68" s="7">
        <f>SUM(D$5:D68)</f>
        <v>3258.1063539973411</v>
      </c>
      <c r="G68" s="7">
        <f>$D$1-'Amort Schedule - Investor'!F68</f>
        <v>52741.89364600266</v>
      </c>
      <c r="H68" s="11">
        <f t="shared" si="2"/>
        <v>0.94181952939290459</v>
      </c>
      <c r="J68" s="127">
        <f t="shared" si="5"/>
        <v>280</v>
      </c>
      <c r="K68" s="127">
        <f t="shared" si="6"/>
        <v>17920</v>
      </c>
      <c r="L68" s="7">
        <f t="shared" si="7"/>
        <v>111.56012478955631</v>
      </c>
      <c r="M68" s="7">
        <f t="shared" si="8"/>
        <v>7139.847986531614</v>
      </c>
      <c r="N68" s="7">
        <f t="shared" si="9"/>
        <v>50.021451992498214</v>
      </c>
      <c r="O68" s="7">
        <f t="shared" si="10"/>
        <v>3881.7416325342647</v>
      </c>
    </row>
    <row r="69" spans="1:15" x14ac:dyDescent="0.2">
      <c r="A69">
        <f t="shared" si="3"/>
        <v>65</v>
      </c>
      <c r="B69" s="7">
        <f t="shared" si="4"/>
        <v>391.56012478955631</v>
      </c>
      <c r="C69" s="7">
        <f t="shared" si="0"/>
        <v>329.63683528751659</v>
      </c>
      <c r="D69" s="7">
        <f t="shared" si="1"/>
        <v>61.923289502039751</v>
      </c>
      <c r="E69" s="7">
        <f>SUM(C$5:C69)</f>
        <v>22131.378467821785</v>
      </c>
      <c r="F69" s="7">
        <f>SUM(D$5:D69)</f>
        <v>3320.0296434993807</v>
      </c>
      <c r="G69" s="7">
        <f>$D$1-'Amort Schedule - Investor'!F69</f>
        <v>52679.97035650062</v>
      </c>
      <c r="H69" s="11">
        <f t="shared" si="2"/>
        <v>0.94071375636608245</v>
      </c>
      <c r="J69" s="127">
        <f t="shared" si="5"/>
        <v>280</v>
      </c>
      <c r="K69" s="127">
        <f t="shared" si="6"/>
        <v>18200</v>
      </c>
      <c r="L69" s="7">
        <f t="shared" si="7"/>
        <v>111.56012478955631</v>
      </c>
      <c r="M69" s="7">
        <f t="shared" si="8"/>
        <v>7251.4081113211705</v>
      </c>
      <c r="N69" s="7">
        <f t="shared" si="9"/>
        <v>49.63683528751659</v>
      </c>
      <c r="O69" s="7">
        <f t="shared" si="10"/>
        <v>3931.3784678217812</v>
      </c>
    </row>
    <row r="70" spans="1:15" x14ac:dyDescent="0.2">
      <c r="A70">
        <f t="shared" si="3"/>
        <v>66</v>
      </c>
      <c r="B70" s="7">
        <f t="shared" si="4"/>
        <v>391.56012478955631</v>
      </c>
      <c r="C70" s="7">
        <f t="shared" ref="C70:C133" si="11">-IPMT($D$2/12,A70,$D$3,$D$1)</f>
        <v>329.2498147281288</v>
      </c>
      <c r="D70" s="7">
        <f t="shared" ref="D70:D133" si="12">-PPMT($D$2/12,A70,$D$3,$D$1)</f>
        <v>62.310310061427501</v>
      </c>
      <c r="E70" s="7">
        <f>SUM(C$5:C70)</f>
        <v>22460.628282549915</v>
      </c>
      <c r="F70" s="7">
        <f>SUM(D$5:D70)</f>
        <v>3382.3399535608082</v>
      </c>
      <c r="G70" s="7">
        <f>$D$1-'Amort Schedule - Investor'!F70</f>
        <v>52617.660046439189</v>
      </c>
      <c r="H70" s="11">
        <f t="shared" ref="H70:H133" si="13">G70/$D$1</f>
        <v>0.93960107225784262</v>
      </c>
      <c r="J70" s="127">
        <f t="shared" si="5"/>
        <v>280</v>
      </c>
      <c r="K70" s="127">
        <f t="shared" si="6"/>
        <v>18480</v>
      </c>
      <c r="L70" s="7">
        <f t="shared" si="7"/>
        <v>111.56012478955631</v>
      </c>
      <c r="M70" s="7">
        <f t="shared" si="8"/>
        <v>7362.968236110727</v>
      </c>
      <c r="N70" s="7">
        <f t="shared" si="9"/>
        <v>49.249814728128797</v>
      </c>
      <c r="O70" s="7">
        <f t="shared" si="10"/>
        <v>3980.6282825499102</v>
      </c>
    </row>
    <row r="71" spans="1:15" x14ac:dyDescent="0.2">
      <c r="A71">
        <f t="shared" ref="A71:A134" si="14">A70+1</f>
        <v>67</v>
      </c>
      <c r="B71" s="7">
        <f t="shared" ref="B71:B134" si="15">B70</f>
        <v>391.56012478955631</v>
      </c>
      <c r="C71" s="7">
        <f t="shared" si="11"/>
        <v>328.86037529024492</v>
      </c>
      <c r="D71" s="7">
        <f t="shared" si="12"/>
        <v>62.699749499311423</v>
      </c>
      <c r="E71" s="7">
        <f>SUM(C$5:C71)</f>
        <v>22789.48865784016</v>
      </c>
      <c r="F71" s="7">
        <f>SUM(D$5:D71)</f>
        <v>3445.0397030601198</v>
      </c>
      <c r="G71" s="7">
        <f>$D$1-'Amort Schedule - Investor'!F71</f>
        <v>52554.960296939884</v>
      </c>
      <c r="H71" s="11">
        <f t="shared" si="13"/>
        <v>0.93848143387392646</v>
      </c>
      <c r="J71" s="127">
        <f t="shared" ref="J71:J134" si="16">J70</f>
        <v>280</v>
      </c>
      <c r="K71" s="127">
        <f t="shared" ref="K71:K134" si="17">J71+K70</f>
        <v>18760</v>
      </c>
      <c r="L71" s="7">
        <f t="shared" ref="L71:L134" si="18">B71-J71</f>
        <v>111.56012478955631</v>
      </c>
      <c r="M71" s="7">
        <f t="shared" ref="M71:M134" si="19">M70+L71</f>
        <v>7474.5283609002836</v>
      </c>
      <c r="N71" s="7">
        <f t="shared" ref="N71:N134" si="20">C71-J71</f>
        <v>48.860375290244917</v>
      </c>
      <c r="O71" s="7">
        <f t="shared" ref="O71:O134" si="21">O70+N71</f>
        <v>4029.4886578401552</v>
      </c>
    </row>
    <row r="72" spans="1:15" x14ac:dyDescent="0.2">
      <c r="A72">
        <f t="shared" si="14"/>
        <v>68</v>
      </c>
      <c r="B72" s="7">
        <f t="shared" si="15"/>
        <v>391.56012478955631</v>
      </c>
      <c r="C72" s="7">
        <f t="shared" si="11"/>
        <v>328.46850185587419</v>
      </c>
      <c r="D72" s="7">
        <f t="shared" si="12"/>
        <v>63.09162293368211</v>
      </c>
      <c r="E72" s="7">
        <f>SUM(C$5:C72)</f>
        <v>23117.957159696034</v>
      </c>
      <c r="F72" s="7">
        <f>SUM(D$5:D72)</f>
        <v>3508.131325993802</v>
      </c>
      <c r="G72" s="7">
        <f>$D$1-'Amort Schedule - Investor'!F72</f>
        <v>52491.868674006197</v>
      </c>
      <c r="H72" s="11">
        <f t="shared" si="13"/>
        <v>0.93735479775011066</v>
      </c>
      <c r="J72" s="127">
        <f t="shared" si="16"/>
        <v>280</v>
      </c>
      <c r="K72" s="127">
        <f t="shared" si="17"/>
        <v>19040</v>
      </c>
      <c r="L72" s="7">
        <f t="shared" si="18"/>
        <v>111.56012478955631</v>
      </c>
      <c r="M72" s="7">
        <f t="shared" si="19"/>
        <v>7586.0884856898401</v>
      </c>
      <c r="N72" s="7">
        <f t="shared" si="20"/>
        <v>48.468501855874194</v>
      </c>
      <c r="O72" s="7">
        <f t="shared" si="21"/>
        <v>4077.9571596960295</v>
      </c>
    </row>
    <row r="73" spans="1:15" x14ac:dyDescent="0.2">
      <c r="A73">
        <f t="shared" si="14"/>
        <v>69</v>
      </c>
      <c r="B73" s="7">
        <f t="shared" si="15"/>
        <v>391.56012478955631</v>
      </c>
      <c r="C73" s="7">
        <f t="shared" si="11"/>
        <v>328.0741792125387</v>
      </c>
      <c r="D73" s="7">
        <f t="shared" si="12"/>
        <v>63.485945577017624</v>
      </c>
      <c r="E73" s="7">
        <f>SUM(C$5:C73)</f>
        <v>23446.031338908571</v>
      </c>
      <c r="F73" s="7">
        <f>SUM(D$5:D73)</f>
        <v>3571.6172715708194</v>
      </c>
      <c r="G73" s="7">
        <f>$D$1-'Amort Schedule - Investor'!F73</f>
        <v>52428.382728429184</v>
      </c>
      <c r="H73" s="11">
        <f t="shared" si="13"/>
        <v>0.93622112015052117</v>
      </c>
      <c r="J73" s="127">
        <f t="shared" si="16"/>
        <v>280</v>
      </c>
      <c r="K73" s="127">
        <f t="shared" si="17"/>
        <v>19320</v>
      </c>
      <c r="L73" s="7">
        <f t="shared" si="18"/>
        <v>111.56012478955631</v>
      </c>
      <c r="M73" s="7">
        <f t="shared" si="19"/>
        <v>7697.6486104793967</v>
      </c>
      <c r="N73" s="7">
        <f t="shared" si="20"/>
        <v>48.074179212538695</v>
      </c>
      <c r="O73" s="7">
        <f t="shared" si="21"/>
        <v>4126.0313389085686</v>
      </c>
    </row>
    <row r="74" spans="1:15" x14ac:dyDescent="0.2">
      <c r="A74">
        <f t="shared" si="14"/>
        <v>70</v>
      </c>
      <c r="B74" s="7">
        <f t="shared" si="15"/>
        <v>391.56012478955631</v>
      </c>
      <c r="C74" s="7">
        <f t="shared" si="11"/>
        <v>327.67739205268231</v>
      </c>
      <c r="D74" s="7">
        <f t="shared" si="12"/>
        <v>63.88273273687399</v>
      </c>
      <c r="E74" s="7">
        <f>SUM(C$5:C74)</f>
        <v>23773.708730961254</v>
      </c>
      <c r="F74" s="7">
        <f>SUM(D$5:D74)</f>
        <v>3635.5000043076934</v>
      </c>
      <c r="G74" s="7">
        <f>$D$1-'Amort Schedule - Investor'!F74</f>
        <v>52364.499995692306</v>
      </c>
      <c r="H74" s="11">
        <f t="shared" si="13"/>
        <v>0.93508035706593406</v>
      </c>
      <c r="J74" s="127">
        <f t="shared" si="16"/>
        <v>280</v>
      </c>
      <c r="K74" s="127">
        <f t="shared" si="17"/>
        <v>19600</v>
      </c>
      <c r="L74" s="7">
        <f t="shared" si="18"/>
        <v>111.56012478955631</v>
      </c>
      <c r="M74" s="7">
        <f t="shared" si="19"/>
        <v>7809.2087352689532</v>
      </c>
      <c r="N74" s="7">
        <f t="shared" si="20"/>
        <v>47.677392052682308</v>
      </c>
      <c r="O74" s="7">
        <f t="shared" si="21"/>
        <v>4173.7087309612507</v>
      </c>
    </row>
    <row r="75" spans="1:15" x14ac:dyDescent="0.2">
      <c r="A75">
        <f t="shared" si="14"/>
        <v>71</v>
      </c>
      <c r="B75" s="7">
        <f t="shared" si="15"/>
        <v>391.56012478955631</v>
      </c>
      <c r="C75" s="7">
        <f t="shared" si="11"/>
        <v>327.27812497307696</v>
      </c>
      <c r="D75" s="7">
        <f t="shared" si="12"/>
        <v>64.281999816479441</v>
      </c>
      <c r="E75" s="7">
        <f>SUM(C$5:C75)</f>
        <v>24100.98685593433</v>
      </c>
      <c r="F75" s="7">
        <f>SUM(D$5:D75)</f>
        <v>3699.782004124173</v>
      </c>
      <c r="G75" s="7">
        <f>$D$1-'Amort Schedule - Investor'!F75</f>
        <v>52300.217995875828</v>
      </c>
      <c r="H75" s="11">
        <f t="shared" si="13"/>
        <v>0.93393246421206833</v>
      </c>
      <c r="J75" s="127">
        <f t="shared" si="16"/>
        <v>280</v>
      </c>
      <c r="K75" s="127">
        <f t="shared" si="17"/>
        <v>19880</v>
      </c>
      <c r="L75" s="7">
        <f t="shared" si="18"/>
        <v>111.56012478955631</v>
      </c>
      <c r="M75" s="7">
        <f t="shared" si="19"/>
        <v>7920.7688600585097</v>
      </c>
      <c r="N75" s="7">
        <f t="shared" si="20"/>
        <v>47.278124973076956</v>
      </c>
      <c r="O75" s="7">
        <f t="shared" si="21"/>
        <v>4220.9868559343277</v>
      </c>
    </row>
    <row r="76" spans="1:15" s="6" customFormat="1" x14ac:dyDescent="0.2">
      <c r="A76" s="6">
        <f t="shared" si="14"/>
        <v>72</v>
      </c>
      <c r="B76" s="128">
        <f t="shared" si="15"/>
        <v>391.56012478955631</v>
      </c>
      <c r="C76" s="128">
        <f t="shared" si="11"/>
        <v>326.87636247422387</v>
      </c>
      <c r="D76" s="128">
        <f t="shared" si="12"/>
        <v>64.683762315332444</v>
      </c>
      <c r="E76" s="128">
        <f>SUM(C$5:C76)</f>
        <v>24427.863218408555</v>
      </c>
      <c r="F76" s="128">
        <f>SUM(D$5:D76)</f>
        <v>3764.4657664395054</v>
      </c>
      <c r="G76" s="128">
        <f>$D$1-'Amort Schedule - Investor'!F76</f>
        <v>52235.534233560495</v>
      </c>
      <c r="H76" s="124">
        <f t="shared" si="13"/>
        <v>0.932777397027866</v>
      </c>
      <c r="J76" s="131">
        <f t="shared" si="16"/>
        <v>280</v>
      </c>
      <c r="K76" s="131">
        <f t="shared" si="17"/>
        <v>20160</v>
      </c>
      <c r="L76" s="128">
        <f t="shared" si="18"/>
        <v>111.56012478955631</v>
      </c>
      <c r="M76" s="128">
        <f t="shared" si="19"/>
        <v>8032.3289848480663</v>
      </c>
      <c r="N76" s="128">
        <f t="shared" si="20"/>
        <v>46.876362474223868</v>
      </c>
      <c r="O76" s="128">
        <f t="shared" si="21"/>
        <v>4267.8632184085518</v>
      </c>
    </row>
    <row r="77" spans="1:15" x14ac:dyDescent="0.2">
      <c r="A77">
        <f t="shared" si="14"/>
        <v>73</v>
      </c>
      <c r="B77" s="7">
        <f t="shared" si="15"/>
        <v>391.56012478955631</v>
      </c>
      <c r="C77" s="7">
        <f t="shared" si="11"/>
        <v>326.47208895975308</v>
      </c>
      <c r="D77" s="7">
        <f t="shared" si="12"/>
        <v>65.08803582980326</v>
      </c>
      <c r="E77" s="7">
        <f>SUM(C$5:C77)</f>
        <v>24754.335307368307</v>
      </c>
      <c r="F77" s="7">
        <f>SUM(D$5:D77)</f>
        <v>3829.5538022693086</v>
      </c>
      <c r="G77" s="7">
        <f>$D$1-'Amort Schedule - Investor'!F77</f>
        <v>52170.446197730693</v>
      </c>
      <c r="H77" s="11">
        <f t="shared" si="13"/>
        <v>0.93161511067376235</v>
      </c>
      <c r="J77" s="127">
        <f t="shared" si="16"/>
        <v>280</v>
      </c>
      <c r="K77" s="127">
        <f t="shared" si="17"/>
        <v>20440</v>
      </c>
      <c r="L77" s="7">
        <f t="shared" si="18"/>
        <v>111.56012478955631</v>
      </c>
      <c r="M77" s="7">
        <f t="shared" si="19"/>
        <v>8143.8891096376228</v>
      </c>
      <c r="N77" s="7">
        <f t="shared" si="20"/>
        <v>46.47208895975308</v>
      </c>
      <c r="O77" s="7">
        <f t="shared" si="21"/>
        <v>4314.3353073683047</v>
      </c>
    </row>
    <row r="78" spans="1:15" x14ac:dyDescent="0.2">
      <c r="A78">
        <f t="shared" si="14"/>
        <v>74</v>
      </c>
      <c r="B78" s="7">
        <f t="shared" si="15"/>
        <v>391.56012478955631</v>
      </c>
      <c r="C78" s="7">
        <f t="shared" si="11"/>
        <v>326.06528873581681</v>
      </c>
      <c r="D78" s="7">
        <f t="shared" si="12"/>
        <v>65.494836053739533</v>
      </c>
      <c r="E78" s="7">
        <f>SUM(C$5:C78)</f>
        <v>25080.400596104122</v>
      </c>
      <c r="F78" s="7">
        <f>SUM(D$5:D78)</f>
        <v>3895.0486383230482</v>
      </c>
      <c r="G78" s="7">
        <f>$D$1-'Amort Schedule - Investor'!F78</f>
        <v>52104.951361676955</v>
      </c>
      <c r="H78" s="11">
        <f t="shared" si="13"/>
        <v>0.93044556002994561</v>
      </c>
      <c r="J78" s="127">
        <f t="shared" si="16"/>
        <v>280</v>
      </c>
      <c r="K78" s="127">
        <f t="shared" si="17"/>
        <v>20720</v>
      </c>
      <c r="L78" s="7">
        <f t="shared" si="18"/>
        <v>111.56012478955631</v>
      </c>
      <c r="M78" s="7">
        <f t="shared" si="19"/>
        <v>8255.4492344271785</v>
      </c>
      <c r="N78" s="7">
        <f t="shared" si="20"/>
        <v>46.065288735816807</v>
      </c>
      <c r="O78" s="7">
        <f t="shared" si="21"/>
        <v>4360.4005961041212</v>
      </c>
    </row>
    <row r="79" spans="1:15" x14ac:dyDescent="0.2">
      <c r="A79">
        <f t="shared" si="14"/>
        <v>75</v>
      </c>
      <c r="B79" s="7">
        <f t="shared" si="15"/>
        <v>391.56012478955631</v>
      </c>
      <c r="C79" s="7">
        <f t="shared" si="11"/>
        <v>325.65594601048093</v>
      </c>
      <c r="D79" s="7">
        <f t="shared" si="12"/>
        <v>65.904178779075409</v>
      </c>
      <c r="E79" s="7">
        <f>SUM(C$5:C79)</f>
        <v>25406.056542114602</v>
      </c>
      <c r="F79" s="7">
        <f>SUM(D$5:D79)</f>
        <v>3960.9528171021234</v>
      </c>
      <c r="G79" s="7">
        <f>$D$1-'Amort Schedule - Investor'!F79</f>
        <v>52039.047182897877</v>
      </c>
      <c r="H79" s="11">
        <f t="shared" si="13"/>
        <v>0.9292686996946049</v>
      </c>
      <c r="J79" s="127">
        <f t="shared" si="16"/>
        <v>280</v>
      </c>
      <c r="K79" s="127">
        <f t="shared" si="17"/>
        <v>21000</v>
      </c>
      <c r="L79" s="7">
        <f t="shared" si="18"/>
        <v>111.56012478955631</v>
      </c>
      <c r="M79" s="7">
        <f t="shared" si="19"/>
        <v>8367.0093592167341</v>
      </c>
      <c r="N79" s="7">
        <f t="shared" si="20"/>
        <v>45.655946010480932</v>
      </c>
      <c r="O79" s="7">
        <f t="shared" si="21"/>
        <v>4406.0565421146021</v>
      </c>
    </row>
    <row r="80" spans="1:15" x14ac:dyDescent="0.2">
      <c r="A80">
        <f t="shared" si="14"/>
        <v>76</v>
      </c>
      <c r="B80" s="7">
        <f t="shared" si="15"/>
        <v>391.56012478955631</v>
      </c>
      <c r="C80" s="7">
        <f t="shared" si="11"/>
        <v>325.24404489311172</v>
      </c>
      <c r="D80" s="7">
        <f t="shared" si="12"/>
        <v>66.316079896444634</v>
      </c>
      <c r="E80" s="7">
        <f>SUM(C$5:C80)</f>
        <v>25731.300587007714</v>
      </c>
      <c r="F80" s="7">
        <f>SUM(D$5:D80)</f>
        <v>4027.2688969985679</v>
      </c>
      <c r="G80" s="7">
        <f>$D$1-'Amort Schedule - Investor'!F80</f>
        <v>51972.731103001432</v>
      </c>
      <c r="H80" s="11">
        <f t="shared" si="13"/>
        <v>0.92808448398216847</v>
      </c>
      <c r="J80" s="127">
        <f t="shared" si="16"/>
        <v>280</v>
      </c>
      <c r="K80" s="127">
        <f t="shared" si="17"/>
        <v>21280</v>
      </c>
      <c r="L80" s="7">
        <f t="shared" si="18"/>
        <v>111.56012478955631</v>
      </c>
      <c r="M80" s="7">
        <f t="shared" si="19"/>
        <v>8478.5694840062897</v>
      </c>
      <c r="N80" s="7">
        <f t="shared" si="20"/>
        <v>45.24404489311172</v>
      </c>
      <c r="O80" s="7">
        <f t="shared" si="21"/>
        <v>4451.3005870077141</v>
      </c>
    </row>
    <row r="81" spans="1:15" x14ac:dyDescent="0.2">
      <c r="A81">
        <f t="shared" si="14"/>
        <v>77</v>
      </c>
      <c r="B81" s="7">
        <f t="shared" si="15"/>
        <v>391.56012478955631</v>
      </c>
      <c r="C81" s="7">
        <f t="shared" si="11"/>
        <v>324.8295693937589</v>
      </c>
      <c r="D81" s="7">
        <f t="shared" si="12"/>
        <v>66.73055539579741</v>
      </c>
      <c r="E81" s="7">
        <f>SUM(C$5:C81)</f>
        <v>26056.130156401472</v>
      </c>
      <c r="F81" s="7">
        <f>SUM(D$5:D81)</f>
        <v>4093.9994523943651</v>
      </c>
      <c r="G81" s="7">
        <f>$D$1-'Amort Schedule - Investor'!F81</f>
        <v>51906.000547605632</v>
      </c>
      <c r="H81" s="11">
        <f t="shared" si="13"/>
        <v>0.92689286692152917</v>
      </c>
      <c r="J81" s="127">
        <f t="shared" si="16"/>
        <v>280</v>
      </c>
      <c r="K81" s="127">
        <f t="shared" si="17"/>
        <v>21560</v>
      </c>
      <c r="L81" s="7">
        <f t="shared" si="18"/>
        <v>111.56012478955631</v>
      </c>
      <c r="M81" s="7">
        <f t="shared" si="19"/>
        <v>8590.1296087958453</v>
      </c>
      <c r="N81" s="7">
        <f t="shared" si="20"/>
        <v>44.829569393758902</v>
      </c>
      <c r="O81" s="7">
        <f t="shared" si="21"/>
        <v>4496.130156401473</v>
      </c>
    </row>
    <row r="82" spans="1:15" x14ac:dyDescent="0.2">
      <c r="A82">
        <f t="shared" si="14"/>
        <v>78</v>
      </c>
      <c r="B82" s="7">
        <f t="shared" si="15"/>
        <v>391.56012478955631</v>
      </c>
      <c r="C82" s="7">
        <f t="shared" si="11"/>
        <v>324.41250342253517</v>
      </c>
      <c r="D82" s="7">
        <f t="shared" si="12"/>
        <v>67.147621367021145</v>
      </c>
      <c r="E82" s="7">
        <f>SUM(C$5:C82)</f>
        <v>26380.542659824008</v>
      </c>
      <c r="F82" s="7">
        <f>SUM(D$5:D82)</f>
        <v>4161.1470737613863</v>
      </c>
      <c r="G82" s="7">
        <f>$D$1-'Amort Schedule - Investor'!F82</f>
        <v>51838.852926238615</v>
      </c>
      <c r="H82" s="11">
        <f t="shared" si="13"/>
        <v>0.92569380225426101</v>
      </c>
      <c r="J82" s="127">
        <f t="shared" si="16"/>
        <v>280</v>
      </c>
      <c r="K82" s="127">
        <f t="shared" si="17"/>
        <v>21840</v>
      </c>
      <c r="L82" s="7">
        <f t="shared" si="18"/>
        <v>111.56012478955631</v>
      </c>
      <c r="M82" s="7">
        <f t="shared" si="19"/>
        <v>8701.689733585401</v>
      </c>
      <c r="N82" s="7">
        <f t="shared" si="20"/>
        <v>44.412503422535167</v>
      </c>
      <c r="O82" s="7">
        <f t="shared" si="21"/>
        <v>4540.5426598240083</v>
      </c>
    </row>
    <row r="83" spans="1:15" x14ac:dyDescent="0.2">
      <c r="A83">
        <f t="shared" si="14"/>
        <v>79</v>
      </c>
      <c r="B83" s="7">
        <f t="shared" si="15"/>
        <v>391.56012478955631</v>
      </c>
      <c r="C83" s="7">
        <f t="shared" si="11"/>
        <v>323.99283078899134</v>
      </c>
      <c r="D83" s="7">
        <f t="shared" si="12"/>
        <v>67.567294000565028</v>
      </c>
      <c r="E83" s="7">
        <f>SUM(C$5:C83)</f>
        <v>26704.535490613001</v>
      </c>
      <c r="F83" s="7">
        <f>SUM(D$5:D83)</f>
        <v>4228.7143677619515</v>
      </c>
      <c r="G83" s="7">
        <f>$D$1-'Amort Schedule - Investor'!F83</f>
        <v>51771.285632238047</v>
      </c>
      <c r="H83" s="11">
        <f t="shared" si="13"/>
        <v>0.92448724343282229</v>
      </c>
      <c r="J83" s="127">
        <f t="shared" si="16"/>
        <v>280</v>
      </c>
      <c r="K83" s="127">
        <f t="shared" si="17"/>
        <v>22120</v>
      </c>
      <c r="L83" s="7">
        <f t="shared" si="18"/>
        <v>111.56012478955631</v>
      </c>
      <c r="M83" s="7">
        <f t="shared" si="19"/>
        <v>8813.2498583749566</v>
      </c>
      <c r="N83" s="7">
        <f t="shared" si="20"/>
        <v>43.992830788991341</v>
      </c>
      <c r="O83" s="7">
        <f t="shared" si="21"/>
        <v>4584.5354906129996</v>
      </c>
    </row>
    <row r="84" spans="1:15" x14ac:dyDescent="0.2">
      <c r="A84">
        <f t="shared" si="14"/>
        <v>80</v>
      </c>
      <c r="B84" s="7">
        <f t="shared" si="15"/>
        <v>391.56012478955631</v>
      </c>
      <c r="C84" s="7">
        <f t="shared" si="11"/>
        <v>323.57053520148776</v>
      </c>
      <c r="D84" s="7">
        <f t="shared" si="12"/>
        <v>67.989589588068554</v>
      </c>
      <c r="E84" s="7">
        <f>SUM(C$5:C84)</f>
        <v>27028.10602581449</v>
      </c>
      <c r="F84" s="7">
        <f>SUM(D$5:D84)</f>
        <v>4296.7039573500197</v>
      </c>
      <c r="G84" s="7">
        <f>$D$1-'Amort Schedule - Investor'!F84</f>
        <v>51703.296042649978</v>
      </c>
      <c r="H84" s="11">
        <f t="shared" si="13"/>
        <v>0.92327314361874957</v>
      </c>
      <c r="J84" s="127">
        <f t="shared" si="16"/>
        <v>280</v>
      </c>
      <c r="K84" s="127">
        <f t="shared" si="17"/>
        <v>22400</v>
      </c>
      <c r="L84" s="7">
        <f t="shared" si="18"/>
        <v>111.56012478955631</v>
      </c>
      <c r="M84" s="7">
        <f t="shared" si="19"/>
        <v>8924.8099831645122</v>
      </c>
      <c r="N84" s="7">
        <f t="shared" si="20"/>
        <v>43.570535201487758</v>
      </c>
      <c r="O84" s="7">
        <f t="shared" si="21"/>
        <v>4628.1060258144871</v>
      </c>
    </row>
    <row r="85" spans="1:15" x14ac:dyDescent="0.2">
      <c r="A85">
        <f t="shared" si="14"/>
        <v>81</v>
      </c>
      <c r="B85" s="7">
        <f t="shared" si="15"/>
        <v>391.56012478955631</v>
      </c>
      <c r="C85" s="7">
        <f t="shared" si="11"/>
        <v>323.14560026656233</v>
      </c>
      <c r="D85" s="7">
        <f t="shared" si="12"/>
        <v>68.414524522993986</v>
      </c>
      <c r="E85" s="7">
        <f>SUM(C$5:C85)</f>
        <v>27351.251626081052</v>
      </c>
      <c r="F85" s="7">
        <f>SUM(D$5:D85)</f>
        <v>4365.1184818730135</v>
      </c>
      <c r="G85" s="7">
        <f>$D$1-'Amort Schedule - Investor'!F85</f>
        <v>51634.881518126989</v>
      </c>
      <c r="H85" s="11">
        <f t="shared" si="13"/>
        <v>0.92205145568083913</v>
      </c>
      <c r="J85" s="127">
        <f t="shared" si="16"/>
        <v>280</v>
      </c>
      <c r="K85" s="127">
        <f t="shared" si="17"/>
        <v>22680</v>
      </c>
      <c r="L85" s="7">
        <f t="shared" si="18"/>
        <v>111.56012478955631</v>
      </c>
      <c r="M85" s="7">
        <f t="shared" si="19"/>
        <v>9036.3701079540679</v>
      </c>
      <c r="N85" s="7">
        <f t="shared" si="20"/>
        <v>43.145600266562326</v>
      </c>
      <c r="O85" s="7">
        <f t="shared" si="21"/>
        <v>4671.2516260810498</v>
      </c>
    </row>
    <row r="86" spans="1:15" x14ac:dyDescent="0.2">
      <c r="A86">
        <f t="shared" si="14"/>
        <v>82</v>
      </c>
      <c r="B86" s="7">
        <f t="shared" si="15"/>
        <v>391.56012478955631</v>
      </c>
      <c r="C86" s="7">
        <f t="shared" si="11"/>
        <v>322.71800948829366</v>
      </c>
      <c r="D86" s="7">
        <f t="shared" si="12"/>
        <v>68.842115301262709</v>
      </c>
      <c r="E86" s="7">
        <f>SUM(C$5:C86)</f>
        <v>27673.969635569345</v>
      </c>
      <c r="F86" s="7">
        <f>SUM(D$5:D86)</f>
        <v>4433.9605971742758</v>
      </c>
      <c r="G86" s="7">
        <f>$D$1-'Amort Schedule - Investor'!F86</f>
        <v>51566.039402825721</v>
      </c>
      <c r="H86" s="11">
        <f t="shared" si="13"/>
        <v>0.92082213219331643</v>
      </c>
      <c r="J86" s="127">
        <f t="shared" si="16"/>
        <v>280</v>
      </c>
      <c r="K86" s="127">
        <f t="shared" si="17"/>
        <v>22960</v>
      </c>
      <c r="L86" s="7">
        <f t="shared" si="18"/>
        <v>111.56012478955631</v>
      </c>
      <c r="M86" s="7">
        <f t="shared" si="19"/>
        <v>9147.9302327436235</v>
      </c>
      <c r="N86" s="7">
        <f t="shared" si="20"/>
        <v>42.71800948829366</v>
      </c>
      <c r="O86" s="7">
        <f t="shared" si="21"/>
        <v>4713.9696355693432</v>
      </c>
    </row>
    <row r="87" spans="1:15" x14ac:dyDescent="0.2">
      <c r="A87">
        <f t="shared" si="14"/>
        <v>83</v>
      </c>
      <c r="B87" s="7">
        <f t="shared" si="15"/>
        <v>391.56012478955631</v>
      </c>
      <c r="C87" s="7">
        <f t="shared" si="11"/>
        <v>322.28774626766074</v>
      </c>
      <c r="D87" s="7">
        <f t="shared" si="12"/>
        <v>69.27237852189559</v>
      </c>
      <c r="E87" s="7">
        <f>SUM(C$5:C87)</f>
        <v>27996.257381837007</v>
      </c>
      <c r="F87" s="7">
        <f>SUM(D$5:D87)</f>
        <v>4503.2329756961717</v>
      </c>
      <c r="G87" s="7">
        <f>$D$1-'Amort Schedule - Investor'!F87</f>
        <v>51496.76702430383</v>
      </c>
      <c r="H87" s="11">
        <f t="shared" si="13"/>
        <v>0.91958512543399695</v>
      </c>
      <c r="J87" s="127">
        <f t="shared" si="16"/>
        <v>280</v>
      </c>
      <c r="K87" s="127">
        <f t="shared" si="17"/>
        <v>23240</v>
      </c>
      <c r="L87" s="7">
        <f t="shared" si="18"/>
        <v>111.56012478955631</v>
      </c>
      <c r="M87" s="7">
        <f t="shared" si="19"/>
        <v>9259.4903575331791</v>
      </c>
      <c r="N87" s="7">
        <f t="shared" si="20"/>
        <v>42.287746267660737</v>
      </c>
      <c r="O87" s="7">
        <f t="shared" si="21"/>
        <v>4756.2573818370038</v>
      </c>
    </row>
    <row r="88" spans="1:15" s="6" customFormat="1" x14ac:dyDescent="0.2">
      <c r="A88" s="6">
        <f t="shared" si="14"/>
        <v>84</v>
      </c>
      <c r="B88" s="128">
        <f t="shared" si="15"/>
        <v>391.56012478955631</v>
      </c>
      <c r="C88" s="128">
        <f t="shared" si="11"/>
        <v>321.85479390189886</v>
      </c>
      <c r="D88" s="128">
        <f t="shared" si="12"/>
        <v>69.705330887657453</v>
      </c>
      <c r="E88" s="128">
        <f>SUM(C$5:C88)</f>
        <v>28318.112175738905</v>
      </c>
      <c r="F88" s="128">
        <f>SUM(D$5:D88)</f>
        <v>4572.9383065838292</v>
      </c>
      <c r="G88" s="128">
        <f>$D$1-'Amort Schedule - Investor'!F88</f>
        <v>51427.061693416174</v>
      </c>
      <c r="H88" s="124">
        <f t="shared" si="13"/>
        <v>0.91834038738243162</v>
      </c>
      <c r="J88" s="131">
        <f t="shared" si="16"/>
        <v>280</v>
      </c>
      <c r="K88" s="131">
        <f t="shared" si="17"/>
        <v>23520</v>
      </c>
      <c r="L88" s="128">
        <f t="shared" si="18"/>
        <v>111.56012478955631</v>
      </c>
      <c r="M88" s="128">
        <f t="shared" si="19"/>
        <v>9371.0504823227348</v>
      </c>
      <c r="N88" s="128">
        <f t="shared" si="20"/>
        <v>41.854793901898859</v>
      </c>
      <c r="O88" s="128">
        <f t="shared" si="21"/>
        <v>4798.1121757389028</v>
      </c>
    </row>
    <row r="89" spans="1:15" x14ac:dyDescent="0.2">
      <c r="A89">
        <f t="shared" si="14"/>
        <v>85</v>
      </c>
      <c r="B89" s="7">
        <f t="shared" si="15"/>
        <v>391.56012478955631</v>
      </c>
      <c r="C89" s="7">
        <f t="shared" si="11"/>
        <v>321.41913558385102</v>
      </c>
      <c r="D89" s="7">
        <f t="shared" si="12"/>
        <v>70.140989205705296</v>
      </c>
      <c r="E89" s="7">
        <f>SUM(C$5:C89)</f>
        <v>28639.531311322757</v>
      </c>
      <c r="F89" s="7">
        <f>SUM(D$5:D89)</f>
        <v>4643.0792957895346</v>
      </c>
      <c r="G89" s="7">
        <f>$D$1-'Amort Schedule - Investor'!F89</f>
        <v>51356.920704210468</v>
      </c>
      <c r="H89" s="11">
        <f t="shared" si="13"/>
        <v>0.91708786971804412</v>
      </c>
      <c r="J89" s="127">
        <f t="shared" si="16"/>
        <v>280</v>
      </c>
      <c r="K89" s="127">
        <f t="shared" si="17"/>
        <v>23800</v>
      </c>
      <c r="L89" s="7">
        <f t="shared" si="18"/>
        <v>111.56012478955631</v>
      </c>
      <c r="M89" s="7">
        <f t="shared" si="19"/>
        <v>9482.6106071122904</v>
      </c>
      <c r="N89" s="7">
        <f t="shared" si="20"/>
        <v>41.419135583851016</v>
      </c>
      <c r="O89" s="7">
        <f t="shared" si="21"/>
        <v>4839.5313113227539</v>
      </c>
    </row>
    <row r="90" spans="1:15" x14ac:dyDescent="0.2">
      <c r="A90">
        <f t="shared" si="14"/>
        <v>86</v>
      </c>
      <c r="B90" s="7">
        <f t="shared" si="15"/>
        <v>391.56012478955631</v>
      </c>
      <c r="C90" s="7">
        <f t="shared" si="11"/>
        <v>320.98075440131538</v>
      </c>
      <c r="D90" s="7">
        <f t="shared" si="12"/>
        <v>70.57937038824096</v>
      </c>
      <c r="E90" s="7">
        <f>SUM(C$5:C90)</f>
        <v>28960.512065724073</v>
      </c>
      <c r="F90" s="7">
        <f>SUM(D$5:D90)</f>
        <v>4713.6586661777756</v>
      </c>
      <c r="G90" s="7">
        <f>$D$1-'Amort Schedule - Investor'!F90</f>
        <v>51286.341333822224</v>
      </c>
      <c r="H90" s="11">
        <f t="shared" si="13"/>
        <v>0.91582752381825394</v>
      </c>
      <c r="J90" s="127">
        <f t="shared" si="16"/>
        <v>280</v>
      </c>
      <c r="K90" s="127">
        <f t="shared" si="17"/>
        <v>24080</v>
      </c>
      <c r="L90" s="7">
        <f t="shared" si="18"/>
        <v>111.56012478955631</v>
      </c>
      <c r="M90" s="7">
        <f t="shared" si="19"/>
        <v>9594.170731901846</v>
      </c>
      <c r="N90" s="7">
        <f t="shared" si="20"/>
        <v>40.98075440131538</v>
      </c>
      <c r="O90" s="7">
        <f t="shared" si="21"/>
        <v>4880.5120657240695</v>
      </c>
    </row>
    <row r="91" spans="1:15" x14ac:dyDescent="0.2">
      <c r="A91">
        <f t="shared" si="14"/>
        <v>87</v>
      </c>
      <c r="B91" s="7">
        <f t="shared" si="15"/>
        <v>391.56012478955631</v>
      </c>
      <c r="C91" s="7">
        <f t="shared" si="11"/>
        <v>320.53963333638887</v>
      </c>
      <c r="D91" s="7">
        <f t="shared" si="12"/>
        <v>71.020491453167466</v>
      </c>
      <c r="E91" s="7">
        <f>SUM(C$5:C91)</f>
        <v>29281.051699060463</v>
      </c>
      <c r="F91" s="7">
        <f>SUM(D$5:D91)</f>
        <v>4784.6791576309433</v>
      </c>
      <c r="G91" s="7">
        <f>$D$1-'Amort Schedule - Investor'!F91</f>
        <v>51215.320842369059</v>
      </c>
      <c r="H91" s="11">
        <f t="shared" si="13"/>
        <v>0.91455930075659031</v>
      </c>
      <c r="J91" s="127">
        <f t="shared" si="16"/>
        <v>280</v>
      </c>
      <c r="K91" s="127">
        <f t="shared" si="17"/>
        <v>24360</v>
      </c>
      <c r="L91" s="7">
        <f t="shared" si="18"/>
        <v>111.56012478955631</v>
      </c>
      <c r="M91" s="7">
        <f t="shared" si="19"/>
        <v>9705.7308566914016</v>
      </c>
      <c r="N91" s="7">
        <f t="shared" si="20"/>
        <v>40.539633336388874</v>
      </c>
      <c r="O91" s="7">
        <f t="shared" si="21"/>
        <v>4921.0516990604583</v>
      </c>
    </row>
    <row r="92" spans="1:15" x14ac:dyDescent="0.2">
      <c r="A92">
        <f t="shared" si="14"/>
        <v>88</v>
      </c>
      <c r="B92" s="7">
        <f t="shared" si="15"/>
        <v>391.56012478955631</v>
      </c>
      <c r="C92" s="7">
        <f t="shared" si="11"/>
        <v>320.0957552648066</v>
      </c>
      <c r="D92" s="7">
        <f t="shared" si="12"/>
        <v>71.46436952474977</v>
      </c>
      <c r="E92" s="7">
        <f>SUM(C$5:C92)</f>
        <v>29601.14745432527</v>
      </c>
      <c r="F92" s="7">
        <f>SUM(D$5:D92)</f>
        <v>4856.1435271556929</v>
      </c>
      <c r="G92" s="7">
        <f>$D$1-'Amort Schedule - Investor'!F92</f>
        <v>51143.856472844309</v>
      </c>
      <c r="H92" s="11">
        <f t="shared" si="13"/>
        <v>0.91328315130079119</v>
      </c>
      <c r="J92" s="127">
        <f t="shared" si="16"/>
        <v>280</v>
      </c>
      <c r="K92" s="127">
        <f t="shared" si="17"/>
        <v>24640</v>
      </c>
      <c r="L92" s="7">
        <f t="shared" si="18"/>
        <v>111.56012478955631</v>
      </c>
      <c r="M92" s="7">
        <f t="shared" si="19"/>
        <v>9817.2909814809573</v>
      </c>
      <c r="N92" s="7">
        <f t="shared" si="20"/>
        <v>40.095755264806598</v>
      </c>
      <c r="O92" s="7">
        <f t="shared" si="21"/>
        <v>4961.1474543252652</v>
      </c>
    </row>
    <row r="93" spans="1:15" x14ac:dyDescent="0.2">
      <c r="A93">
        <f t="shared" si="14"/>
        <v>89</v>
      </c>
      <c r="B93" s="7">
        <f t="shared" si="15"/>
        <v>391.56012478955631</v>
      </c>
      <c r="C93" s="7">
        <f t="shared" si="11"/>
        <v>319.64910295527687</v>
      </c>
      <c r="D93" s="7">
        <f t="shared" si="12"/>
        <v>71.911021834279438</v>
      </c>
      <c r="E93" s="7">
        <f>SUM(C$5:C93)</f>
        <v>29920.796557280548</v>
      </c>
      <c r="F93" s="7">
        <f>SUM(D$5:D93)</f>
        <v>4928.0545489899723</v>
      </c>
      <c r="G93" s="7">
        <f>$D$1-'Amort Schedule - Investor'!F93</f>
        <v>51071.945451010026</v>
      </c>
      <c r="H93" s="11">
        <f t="shared" si="13"/>
        <v>0.91199902591089332</v>
      </c>
      <c r="J93" s="127">
        <f t="shared" si="16"/>
        <v>280</v>
      </c>
      <c r="K93" s="127">
        <f t="shared" si="17"/>
        <v>24920</v>
      </c>
      <c r="L93" s="7">
        <f t="shared" si="18"/>
        <v>111.56012478955631</v>
      </c>
      <c r="M93" s="7">
        <f t="shared" si="19"/>
        <v>9928.8511062705129</v>
      </c>
      <c r="N93" s="7">
        <f t="shared" si="20"/>
        <v>39.649102955276874</v>
      </c>
      <c r="O93" s="7">
        <f t="shared" si="21"/>
        <v>5000.7965572805424</v>
      </c>
    </row>
    <row r="94" spans="1:15" x14ac:dyDescent="0.2">
      <c r="A94">
        <f t="shared" si="14"/>
        <v>90</v>
      </c>
      <c r="B94" s="7">
        <f t="shared" si="15"/>
        <v>391.56012478955631</v>
      </c>
      <c r="C94" s="7">
        <f t="shared" si="11"/>
        <v>319.19965906881265</v>
      </c>
      <c r="D94" s="7">
        <f t="shared" si="12"/>
        <v>72.36046572074369</v>
      </c>
      <c r="E94" s="7">
        <f>SUM(C$5:C94)</f>
        <v>30239.996216349362</v>
      </c>
      <c r="F94" s="7">
        <f>SUM(D$5:D94)</f>
        <v>5000.4150147107157</v>
      </c>
      <c r="G94" s="7">
        <f>$D$1-'Amort Schedule - Investor'!F94</f>
        <v>50999.584985289286</v>
      </c>
      <c r="H94" s="11">
        <f t="shared" si="13"/>
        <v>0.91070687473730871</v>
      </c>
      <c r="J94" s="127">
        <f t="shared" si="16"/>
        <v>280</v>
      </c>
      <c r="K94" s="127">
        <f t="shared" si="17"/>
        <v>25200</v>
      </c>
      <c r="L94" s="7">
        <f t="shared" si="18"/>
        <v>111.56012478955631</v>
      </c>
      <c r="M94" s="7">
        <f t="shared" si="19"/>
        <v>10040.411231060069</v>
      </c>
      <c r="N94" s="7">
        <f t="shared" si="20"/>
        <v>39.19965906881265</v>
      </c>
      <c r="O94" s="7">
        <f t="shared" si="21"/>
        <v>5039.9962163493547</v>
      </c>
    </row>
    <row r="95" spans="1:15" x14ac:dyDescent="0.2">
      <c r="A95">
        <f t="shared" si="14"/>
        <v>91</v>
      </c>
      <c r="B95" s="7">
        <f t="shared" si="15"/>
        <v>391.56012478955631</v>
      </c>
      <c r="C95" s="7">
        <f t="shared" si="11"/>
        <v>318.74740615805797</v>
      </c>
      <c r="D95" s="7">
        <f t="shared" si="12"/>
        <v>72.812718631498342</v>
      </c>
      <c r="E95" s="7">
        <f>SUM(C$5:C95)</f>
        <v>30558.74362250742</v>
      </c>
      <c r="F95" s="7">
        <f>SUM(D$5:D95)</f>
        <v>5073.2277333422144</v>
      </c>
      <c r="G95" s="7">
        <f>$D$1-'Amort Schedule - Investor'!F95</f>
        <v>50926.772266657783</v>
      </c>
      <c r="H95" s="11">
        <f t="shared" si="13"/>
        <v>0.90940664761888901</v>
      </c>
      <c r="J95" s="127">
        <f t="shared" si="16"/>
        <v>280</v>
      </c>
      <c r="K95" s="127">
        <f t="shared" si="17"/>
        <v>25480</v>
      </c>
      <c r="L95" s="7">
        <f t="shared" si="18"/>
        <v>111.56012478955631</v>
      </c>
      <c r="M95" s="7">
        <f t="shared" si="19"/>
        <v>10151.971355849624</v>
      </c>
      <c r="N95" s="7">
        <f t="shared" si="20"/>
        <v>38.74740615805797</v>
      </c>
      <c r="O95" s="7">
        <f t="shared" si="21"/>
        <v>5078.7436225074125</v>
      </c>
    </row>
    <row r="96" spans="1:15" x14ac:dyDescent="0.2">
      <c r="A96">
        <f t="shared" si="14"/>
        <v>92</v>
      </c>
      <c r="B96" s="7">
        <f t="shared" si="15"/>
        <v>391.56012478955631</v>
      </c>
      <c r="C96" s="7">
        <f t="shared" si="11"/>
        <v>318.29232666661113</v>
      </c>
      <c r="D96" s="7">
        <f t="shared" si="12"/>
        <v>73.267798122945209</v>
      </c>
      <c r="E96" s="7">
        <f>SUM(C$5:C96)</f>
        <v>30877.035949174031</v>
      </c>
      <c r="F96" s="7">
        <f>SUM(D$5:D96)</f>
        <v>5146.4955314651597</v>
      </c>
      <c r="G96" s="7">
        <f>$D$1-'Amort Schedule - Investor'!F96</f>
        <v>50853.50446853484</v>
      </c>
      <c r="H96" s="11">
        <f t="shared" si="13"/>
        <v>0.90809829408097931</v>
      </c>
      <c r="J96" s="127">
        <f t="shared" si="16"/>
        <v>280</v>
      </c>
      <c r="K96" s="127">
        <f t="shared" si="17"/>
        <v>25760</v>
      </c>
      <c r="L96" s="7">
        <f t="shared" si="18"/>
        <v>111.56012478955631</v>
      </c>
      <c r="M96" s="7">
        <f t="shared" si="19"/>
        <v>10263.53148063918</v>
      </c>
      <c r="N96" s="7">
        <f t="shared" si="20"/>
        <v>38.292326666611132</v>
      </c>
      <c r="O96" s="7">
        <f t="shared" si="21"/>
        <v>5117.0359491740237</v>
      </c>
    </row>
    <row r="97" spans="1:15" x14ac:dyDescent="0.2">
      <c r="A97">
        <f t="shared" si="14"/>
        <v>93</v>
      </c>
      <c r="B97" s="7">
        <f t="shared" si="15"/>
        <v>391.56012478955631</v>
      </c>
      <c r="C97" s="7">
        <f t="shared" si="11"/>
        <v>317.83440292834274</v>
      </c>
      <c r="D97" s="7">
        <f t="shared" si="12"/>
        <v>73.725721861213628</v>
      </c>
      <c r="E97" s="7">
        <f>SUM(C$5:C97)</f>
        <v>31194.870352102374</v>
      </c>
      <c r="F97" s="7">
        <f>SUM(D$5:D97)</f>
        <v>5220.2212533263737</v>
      </c>
      <c r="G97" s="7">
        <f>$D$1-'Amort Schedule - Investor'!F97</f>
        <v>50779.778746673626</v>
      </c>
      <c r="H97" s="11">
        <f t="shared" si="13"/>
        <v>0.90678176333345761</v>
      </c>
      <c r="J97" s="127">
        <f t="shared" si="16"/>
        <v>280</v>
      </c>
      <c r="K97" s="127">
        <f t="shared" si="17"/>
        <v>26040</v>
      </c>
      <c r="L97" s="7">
        <f t="shared" si="18"/>
        <v>111.56012478955631</v>
      </c>
      <c r="M97" s="7">
        <f t="shared" si="19"/>
        <v>10375.091605428735</v>
      </c>
      <c r="N97" s="7">
        <f t="shared" si="20"/>
        <v>37.83440292834274</v>
      </c>
      <c r="O97" s="7">
        <f t="shared" si="21"/>
        <v>5154.8703521023663</v>
      </c>
    </row>
    <row r="98" spans="1:15" x14ac:dyDescent="0.2">
      <c r="A98">
        <f t="shared" si="14"/>
        <v>94</v>
      </c>
      <c r="B98" s="7">
        <f t="shared" si="15"/>
        <v>391.56012478955631</v>
      </c>
      <c r="C98" s="7">
        <f t="shared" si="11"/>
        <v>317.37361716671012</v>
      </c>
      <c r="D98" s="7">
        <f t="shared" si="12"/>
        <v>74.186507622846193</v>
      </c>
      <c r="E98" s="7">
        <f>SUM(C$5:C98)</f>
        <v>31512.243969269086</v>
      </c>
      <c r="F98" s="7">
        <f>SUM(D$5:D98)</f>
        <v>5294.4077609492197</v>
      </c>
      <c r="G98" s="7">
        <f>$D$1-'Amort Schedule - Investor'!F98</f>
        <v>50705.592239050777</v>
      </c>
      <c r="H98" s="11">
        <f t="shared" si="13"/>
        <v>0.90545700426876385</v>
      </c>
      <c r="J98" s="127">
        <f t="shared" si="16"/>
        <v>280</v>
      </c>
      <c r="K98" s="127">
        <f t="shared" si="17"/>
        <v>26320</v>
      </c>
      <c r="L98" s="7">
        <f t="shared" si="18"/>
        <v>111.56012478955631</v>
      </c>
      <c r="M98" s="7">
        <f t="shared" si="19"/>
        <v>10486.651730218291</v>
      </c>
      <c r="N98" s="7">
        <f t="shared" si="20"/>
        <v>37.373617166710119</v>
      </c>
      <c r="O98" s="7">
        <f t="shared" si="21"/>
        <v>5192.2439692690768</v>
      </c>
    </row>
    <row r="99" spans="1:15" x14ac:dyDescent="0.2">
      <c r="A99">
        <f t="shared" si="14"/>
        <v>95</v>
      </c>
      <c r="B99" s="7">
        <f t="shared" si="15"/>
        <v>391.56012478955631</v>
      </c>
      <c r="C99" s="7">
        <f t="shared" si="11"/>
        <v>316.9099514940674</v>
      </c>
      <c r="D99" s="7">
        <f t="shared" si="12"/>
        <v>74.650173295488983</v>
      </c>
      <c r="E99" s="7">
        <f>SUM(C$5:C99)</f>
        <v>31829.153920763154</v>
      </c>
      <c r="F99" s="7">
        <f>SUM(D$5:D99)</f>
        <v>5369.057934244709</v>
      </c>
      <c r="G99" s="7">
        <f>$D$1-'Amort Schedule - Investor'!F99</f>
        <v>50630.942065755291</v>
      </c>
      <c r="H99" s="11">
        <f t="shared" si="13"/>
        <v>0.90412396545991591</v>
      </c>
      <c r="J99" s="127">
        <f t="shared" si="16"/>
        <v>280</v>
      </c>
      <c r="K99" s="127">
        <f t="shared" si="17"/>
        <v>26600</v>
      </c>
      <c r="L99" s="7">
        <f t="shared" si="18"/>
        <v>111.56012478955631</v>
      </c>
      <c r="M99" s="7">
        <f t="shared" si="19"/>
        <v>10598.211855007847</v>
      </c>
      <c r="N99" s="7">
        <f t="shared" si="20"/>
        <v>36.9099514940674</v>
      </c>
      <c r="O99" s="7">
        <f t="shared" si="21"/>
        <v>5229.153920763144</v>
      </c>
    </row>
    <row r="100" spans="1:15" s="6" customFormat="1" x14ac:dyDescent="0.2">
      <c r="A100" s="6">
        <f t="shared" si="14"/>
        <v>96</v>
      </c>
      <c r="B100" s="128">
        <f t="shared" si="15"/>
        <v>391.56012478955631</v>
      </c>
      <c r="C100" s="128">
        <f t="shared" si="11"/>
        <v>316.44338791097056</v>
      </c>
      <c r="D100" s="128">
        <f t="shared" si="12"/>
        <v>75.116736878585783</v>
      </c>
      <c r="E100" s="128">
        <f>SUM(C$5:C100)</f>
        <v>32145.597308674125</v>
      </c>
      <c r="F100" s="128">
        <f>SUM(D$5:D100)</f>
        <v>5444.1746711232945</v>
      </c>
      <c r="G100" s="128">
        <f>$D$1-'Amort Schedule - Investor'!F100</f>
        <v>50555.825328876708</v>
      </c>
      <c r="H100" s="124">
        <f t="shared" si="13"/>
        <v>0.90278259515851267</v>
      </c>
      <c r="J100" s="131">
        <f t="shared" si="16"/>
        <v>280</v>
      </c>
      <c r="K100" s="131">
        <f t="shared" si="17"/>
        <v>26880</v>
      </c>
      <c r="L100" s="128">
        <f t="shared" si="18"/>
        <v>111.56012478955631</v>
      </c>
      <c r="M100" s="128">
        <f t="shared" si="19"/>
        <v>10709.771979797402</v>
      </c>
      <c r="N100" s="128">
        <f t="shared" si="20"/>
        <v>36.443387910970557</v>
      </c>
      <c r="O100" s="128">
        <f t="shared" si="21"/>
        <v>5265.5973086741142</v>
      </c>
    </row>
    <row r="101" spans="1:15" x14ac:dyDescent="0.2">
      <c r="A101">
        <f t="shared" si="14"/>
        <v>97</v>
      </c>
      <c r="B101" s="7">
        <f t="shared" si="15"/>
        <v>391.56012478955631</v>
      </c>
      <c r="C101" s="7">
        <f t="shared" si="11"/>
        <v>315.97390830547943</v>
      </c>
      <c r="D101" s="7">
        <f t="shared" si="12"/>
        <v>75.586216484076942</v>
      </c>
      <c r="E101" s="7">
        <f>SUM(C$5:C101)</f>
        <v>32461.571216979606</v>
      </c>
      <c r="F101" s="7">
        <f>SUM(D$5:D101)</f>
        <v>5519.7608876073718</v>
      </c>
      <c r="G101" s="7">
        <f>$D$1-'Amort Schedule - Investor'!F101</f>
        <v>50480.239112392628</v>
      </c>
      <c r="H101" s="11">
        <f t="shared" si="13"/>
        <v>0.9014328412927255</v>
      </c>
      <c r="J101" s="127">
        <f t="shared" si="16"/>
        <v>280</v>
      </c>
      <c r="K101" s="127">
        <f t="shared" si="17"/>
        <v>27160</v>
      </c>
      <c r="L101" s="7">
        <f t="shared" si="18"/>
        <v>111.56012478955631</v>
      </c>
      <c r="M101" s="7">
        <f t="shared" si="19"/>
        <v>10821.332104586958</v>
      </c>
      <c r="N101" s="7">
        <f t="shared" si="20"/>
        <v>35.973908305479426</v>
      </c>
      <c r="O101" s="7">
        <f t="shared" si="21"/>
        <v>5301.5712169795934</v>
      </c>
    </row>
    <row r="102" spans="1:15" x14ac:dyDescent="0.2">
      <c r="A102">
        <f t="shared" si="14"/>
        <v>98</v>
      </c>
      <c r="B102" s="7">
        <f t="shared" si="15"/>
        <v>391.56012478955631</v>
      </c>
      <c r="C102" s="7">
        <f t="shared" si="11"/>
        <v>315.50149445245393</v>
      </c>
      <c r="D102" s="7">
        <f t="shared" si="12"/>
        <v>76.058630337102429</v>
      </c>
      <c r="E102" s="7">
        <f>SUM(C$5:C102)</f>
        <v>32777.072711432062</v>
      </c>
      <c r="F102" s="7">
        <f>SUM(D$5:D102)</f>
        <v>5595.8195179444747</v>
      </c>
      <c r="G102" s="7">
        <f>$D$1-'Amort Schedule - Investor'!F102</f>
        <v>50404.180482055526</v>
      </c>
      <c r="H102" s="11">
        <f t="shared" si="13"/>
        <v>0.90007465146527721</v>
      </c>
      <c r="J102" s="127">
        <f t="shared" si="16"/>
        <v>280</v>
      </c>
      <c r="K102" s="127">
        <f t="shared" si="17"/>
        <v>27440</v>
      </c>
      <c r="L102" s="7">
        <f t="shared" si="18"/>
        <v>111.56012478955631</v>
      </c>
      <c r="M102" s="7">
        <f t="shared" si="19"/>
        <v>10932.892229376514</v>
      </c>
      <c r="N102" s="7">
        <f t="shared" si="20"/>
        <v>35.501494452453926</v>
      </c>
      <c r="O102" s="7">
        <f t="shared" si="21"/>
        <v>5337.0727114320471</v>
      </c>
    </row>
    <row r="103" spans="1:15" x14ac:dyDescent="0.2">
      <c r="A103">
        <f t="shared" si="14"/>
        <v>99</v>
      </c>
      <c r="B103" s="7">
        <f t="shared" si="15"/>
        <v>391.56012478955631</v>
      </c>
      <c r="C103" s="7">
        <f t="shared" si="11"/>
        <v>315.02612801284704</v>
      </c>
      <c r="D103" s="7">
        <f t="shared" si="12"/>
        <v>76.533996776709316</v>
      </c>
      <c r="E103" s="7">
        <f>SUM(C$5:C103)</f>
        <v>33092.098839444909</v>
      </c>
      <c r="F103" s="7">
        <f>SUM(D$5:D103)</f>
        <v>5672.3535147211842</v>
      </c>
      <c r="G103" s="7">
        <f>$D$1-'Amort Schedule - Investor'!F103</f>
        <v>50327.646485278819</v>
      </c>
      <c r="H103" s="11">
        <f t="shared" si="13"/>
        <v>0.89870797295140747</v>
      </c>
      <c r="J103" s="127">
        <f t="shared" si="16"/>
        <v>280</v>
      </c>
      <c r="K103" s="127">
        <f t="shared" si="17"/>
        <v>27720</v>
      </c>
      <c r="L103" s="7">
        <f t="shared" si="18"/>
        <v>111.56012478955631</v>
      </c>
      <c r="M103" s="7">
        <f t="shared" si="19"/>
        <v>11044.452354166069</v>
      </c>
      <c r="N103" s="7">
        <f t="shared" si="20"/>
        <v>35.026128012847039</v>
      </c>
      <c r="O103" s="7">
        <f t="shared" si="21"/>
        <v>5372.0988394448941</v>
      </c>
    </row>
    <row r="104" spans="1:15" x14ac:dyDescent="0.2">
      <c r="A104">
        <f t="shared" si="14"/>
        <v>100</v>
      </c>
      <c r="B104" s="7">
        <f t="shared" si="15"/>
        <v>391.56012478955631</v>
      </c>
      <c r="C104" s="7">
        <f t="shared" si="11"/>
        <v>314.54779053299256</v>
      </c>
      <c r="D104" s="7">
        <f t="shared" si="12"/>
        <v>77.012334256563747</v>
      </c>
      <c r="E104" s="7">
        <f>SUM(C$5:C104)</f>
        <v>33406.646629977899</v>
      </c>
      <c r="F104" s="7">
        <f>SUM(D$5:D104)</f>
        <v>5749.3658489777481</v>
      </c>
      <c r="G104" s="7">
        <f>$D$1-'Amort Schedule - Investor'!F104</f>
        <v>50250.634151022256</v>
      </c>
      <c r="H104" s="11">
        <f t="shared" si="13"/>
        <v>0.897332752696826</v>
      </c>
      <c r="J104" s="127">
        <f t="shared" si="16"/>
        <v>280</v>
      </c>
      <c r="K104" s="127">
        <f t="shared" si="17"/>
        <v>28000</v>
      </c>
      <c r="L104" s="7">
        <f t="shared" si="18"/>
        <v>111.56012478955631</v>
      </c>
      <c r="M104" s="7">
        <f t="shared" si="19"/>
        <v>11156.012478955625</v>
      </c>
      <c r="N104" s="7">
        <f t="shared" si="20"/>
        <v>34.547790532992565</v>
      </c>
      <c r="O104" s="7">
        <f t="shared" si="21"/>
        <v>5406.6466299778867</v>
      </c>
    </row>
    <row r="105" spans="1:15" x14ac:dyDescent="0.2">
      <c r="A105">
        <f t="shared" si="14"/>
        <v>101</v>
      </c>
      <c r="B105" s="7">
        <f t="shared" si="15"/>
        <v>391.56012478955631</v>
      </c>
      <c r="C105" s="7">
        <f t="shared" si="11"/>
        <v>314.06646344388901</v>
      </c>
      <c r="D105" s="7">
        <f t="shared" si="12"/>
        <v>77.493661345667277</v>
      </c>
      <c r="E105" s="7">
        <f>SUM(C$5:C105)</f>
        <v>33720.713093421786</v>
      </c>
      <c r="F105" s="7">
        <f>SUM(D$5:D105)</f>
        <v>5826.8595103234156</v>
      </c>
      <c r="G105" s="7">
        <f>$D$1-'Amort Schedule - Investor'!F105</f>
        <v>50173.140489676582</v>
      </c>
      <c r="H105" s="11">
        <f t="shared" si="13"/>
        <v>0.89594893731565328</v>
      </c>
      <c r="J105" s="127">
        <f t="shared" si="16"/>
        <v>280</v>
      </c>
      <c r="K105" s="127">
        <f t="shared" si="17"/>
        <v>28280</v>
      </c>
      <c r="L105" s="7">
        <f t="shared" si="18"/>
        <v>111.56012478955631</v>
      </c>
      <c r="M105" s="7">
        <f t="shared" si="19"/>
        <v>11267.57260374518</v>
      </c>
      <c r="N105" s="7">
        <f t="shared" si="20"/>
        <v>34.066463443889006</v>
      </c>
      <c r="O105" s="7">
        <f t="shared" si="21"/>
        <v>5440.7130934217757</v>
      </c>
    </row>
    <row r="106" spans="1:15" x14ac:dyDescent="0.2">
      <c r="A106">
        <f t="shared" si="14"/>
        <v>102</v>
      </c>
      <c r="B106" s="7">
        <f t="shared" si="15"/>
        <v>391.56012478955631</v>
      </c>
      <c r="C106" s="7">
        <f t="shared" si="11"/>
        <v>313.58212806047868</v>
      </c>
      <c r="D106" s="7">
        <f t="shared" si="12"/>
        <v>77.977996729077702</v>
      </c>
      <c r="E106" s="7">
        <f>SUM(C$5:C106)</f>
        <v>34034.295221482265</v>
      </c>
      <c r="F106" s="7">
        <f>SUM(D$5:D106)</f>
        <v>5904.8375070524935</v>
      </c>
      <c r="G106" s="7">
        <f>$D$1-'Amort Schedule - Investor'!F106</f>
        <v>50095.162492947507</v>
      </c>
      <c r="H106" s="11">
        <f t="shared" si="13"/>
        <v>0.89455647308834829</v>
      </c>
      <c r="J106" s="127">
        <f t="shared" si="16"/>
        <v>280</v>
      </c>
      <c r="K106" s="127">
        <f t="shared" si="17"/>
        <v>28560</v>
      </c>
      <c r="L106" s="7">
        <f t="shared" si="18"/>
        <v>111.56012478955631</v>
      </c>
      <c r="M106" s="7">
        <f t="shared" si="19"/>
        <v>11379.132728534736</v>
      </c>
      <c r="N106" s="7">
        <f t="shared" si="20"/>
        <v>33.582128060478681</v>
      </c>
      <c r="O106" s="7">
        <f t="shared" si="21"/>
        <v>5474.2952214822544</v>
      </c>
    </row>
    <row r="107" spans="1:15" x14ac:dyDescent="0.2">
      <c r="A107">
        <f t="shared" si="14"/>
        <v>103</v>
      </c>
      <c r="B107" s="7">
        <f t="shared" si="15"/>
        <v>391.56012478955631</v>
      </c>
      <c r="C107" s="7">
        <f t="shared" si="11"/>
        <v>313.09476558092189</v>
      </c>
      <c r="D107" s="7">
        <f t="shared" si="12"/>
        <v>78.465359208634439</v>
      </c>
      <c r="E107" s="7">
        <f>SUM(C$5:C107)</f>
        <v>34347.389987063187</v>
      </c>
      <c r="F107" s="7">
        <f>SUM(D$5:D107)</f>
        <v>5983.3028662611277</v>
      </c>
      <c r="G107" s="7">
        <f>$D$1-'Amort Schedule - Investor'!F107</f>
        <v>50016.697133738875</v>
      </c>
      <c r="H107" s="11">
        <f t="shared" si="13"/>
        <v>0.89315530595962278</v>
      </c>
      <c r="J107" s="127">
        <f t="shared" si="16"/>
        <v>280</v>
      </c>
      <c r="K107" s="127">
        <f t="shared" si="17"/>
        <v>28840</v>
      </c>
      <c r="L107" s="7">
        <f t="shared" si="18"/>
        <v>111.56012478955631</v>
      </c>
      <c r="M107" s="7">
        <f t="shared" si="19"/>
        <v>11490.692853324292</v>
      </c>
      <c r="N107" s="7">
        <f t="shared" si="20"/>
        <v>33.094765580921887</v>
      </c>
      <c r="O107" s="7">
        <f t="shared" si="21"/>
        <v>5507.3899870631767</v>
      </c>
    </row>
    <row r="108" spans="1:15" x14ac:dyDescent="0.2">
      <c r="A108">
        <f t="shared" si="14"/>
        <v>104</v>
      </c>
      <c r="B108" s="7">
        <f t="shared" si="15"/>
        <v>391.56012478955631</v>
      </c>
      <c r="C108" s="7">
        <f t="shared" si="11"/>
        <v>312.60435708586795</v>
      </c>
      <c r="D108" s="7">
        <f t="shared" si="12"/>
        <v>78.955767703688394</v>
      </c>
      <c r="E108" s="7">
        <f>SUM(C$5:C108)</f>
        <v>34659.994344149054</v>
      </c>
      <c r="F108" s="7">
        <f>SUM(D$5:D108)</f>
        <v>6062.258633964816</v>
      </c>
      <c r="G108" s="7">
        <f>$D$1-'Amort Schedule - Investor'!F108</f>
        <v>49937.741366035181</v>
      </c>
      <c r="H108" s="11">
        <f t="shared" si="13"/>
        <v>0.89174538153634253</v>
      </c>
      <c r="J108" s="127">
        <f t="shared" si="16"/>
        <v>280</v>
      </c>
      <c r="K108" s="127">
        <f t="shared" si="17"/>
        <v>29120</v>
      </c>
      <c r="L108" s="7">
        <f t="shared" si="18"/>
        <v>111.56012478955631</v>
      </c>
      <c r="M108" s="7">
        <f t="shared" si="19"/>
        <v>11602.252978113847</v>
      </c>
      <c r="N108" s="7">
        <f t="shared" si="20"/>
        <v>32.604357085867946</v>
      </c>
      <c r="O108" s="7">
        <f t="shared" si="21"/>
        <v>5539.994344149045</v>
      </c>
    </row>
    <row r="109" spans="1:15" x14ac:dyDescent="0.2">
      <c r="A109">
        <f t="shared" si="14"/>
        <v>105</v>
      </c>
      <c r="B109" s="7">
        <f t="shared" si="15"/>
        <v>391.56012478955631</v>
      </c>
      <c r="C109" s="7">
        <f t="shared" si="11"/>
        <v>312.11088353771987</v>
      </c>
      <c r="D109" s="7">
        <f t="shared" si="12"/>
        <v>79.449241251836455</v>
      </c>
      <c r="E109" s="7">
        <f>SUM(C$5:C109)</f>
        <v>34972.10522768677</v>
      </c>
      <c r="F109" s="7">
        <f>SUM(D$5:D109)</f>
        <v>6141.7078752166526</v>
      </c>
      <c r="G109" s="7">
        <f>$D$1-'Amort Schedule - Investor'!F109</f>
        <v>49858.292124783344</v>
      </c>
      <c r="H109" s="11">
        <f t="shared" si="13"/>
        <v>0.89032664508541681</v>
      </c>
      <c r="J109" s="127">
        <f t="shared" si="16"/>
        <v>280</v>
      </c>
      <c r="K109" s="127">
        <f t="shared" si="17"/>
        <v>29400</v>
      </c>
      <c r="L109" s="7">
        <f t="shared" si="18"/>
        <v>111.56012478955631</v>
      </c>
      <c r="M109" s="7">
        <f t="shared" si="19"/>
        <v>11713.813102903403</v>
      </c>
      <c r="N109" s="7">
        <f t="shared" si="20"/>
        <v>32.110883537719872</v>
      </c>
      <c r="O109" s="7">
        <f t="shared" si="21"/>
        <v>5572.1052276867649</v>
      </c>
    </row>
    <row r="110" spans="1:15" x14ac:dyDescent="0.2">
      <c r="A110">
        <f t="shared" si="14"/>
        <v>106</v>
      </c>
      <c r="B110" s="7">
        <f t="shared" si="15"/>
        <v>391.56012478955631</v>
      </c>
      <c r="C110" s="7">
        <f t="shared" si="11"/>
        <v>311.61432577989592</v>
      </c>
      <c r="D110" s="7">
        <f t="shared" si="12"/>
        <v>79.945799009660433</v>
      </c>
      <c r="E110" s="7">
        <f>SUM(C$5:C110)</f>
        <v>35283.719553466668</v>
      </c>
      <c r="F110" s="7">
        <f>SUM(D$5:D110)</f>
        <v>6221.6536742263133</v>
      </c>
      <c r="G110" s="7">
        <f>$D$1-'Amort Schedule - Investor'!F110</f>
        <v>49778.346325773688</v>
      </c>
      <c r="H110" s="11">
        <f t="shared" si="13"/>
        <v>0.88889904153167298</v>
      </c>
      <c r="J110" s="127">
        <f t="shared" si="16"/>
        <v>280</v>
      </c>
      <c r="K110" s="127">
        <f t="shared" si="17"/>
        <v>29680</v>
      </c>
      <c r="L110" s="7">
        <f t="shared" si="18"/>
        <v>111.56012478955631</v>
      </c>
      <c r="M110" s="7">
        <f t="shared" si="19"/>
        <v>11825.373227692959</v>
      </c>
      <c r="N110" s="7">
        <f t="shared" si="20"/>
        <v>31.614325779895921</v>
      </c>
      <c r="O110" s="7">
        <f t="shared" si="21"/>
        <v>5603.7195534666607</v>
      </c>
    </row>
    <row r="111" spans="1:15" x14ac:dyDescent="0.2">
      <c r="A111">
        <f t="shared" si="14"/>
        <v>107</v>
      </c>
      <c r="B111" s="7">
        <f t="shared" si="15"/>
        <v>391.56012478955631</v>
      </c>
      <c r="C111" s="7">
        <f t="shared" si="11"/>
        <v>311.11466453608546</v>
      </c>
      <c r="D111" s="7">
        <f t="shared" si="12"/>
        <v>80.445460253470813</v>
      </c>
      <c r="E111" s="7">
        <f>SUM(C$5:C111)</f>
        <v>35594.834218002754</v>
      </c>
      <c r="F111" s="7">
        <f>SUM(D$5:D111)</f>
        <v>6302.099134479784</v>
      </c>
      <c r="G111" s="7">
        <f>$D$1-'Amort Schedule - Investor'!F111</f>
        <v>49697.90086552022</v>
      </c>
      <c r="H111" s="11">
        <f t="shared" si="13"/>
        <v>0.88746251545571819</v>
      </c>
      <c r="J111" s="127">
        <f t="shared" si="16"/>
        <v>280</v>
      </c>
      <c r="K111" s="127">
        <f t="shared" si="17"/>
        <v>29960</v>
      </c>
      <c r="L111" s="7">
        <f t="shared" si="18"/>
        <v>111.56012478955631</v>
      </c>
      <c r="M111" s="7">
        <f t="shared" si="19"/>
        <v>11936.933352482514</v>
      </c>
      <c r="N111" s="7">
        <f t="shared" si="20"/>
        <v>31.114664536085456</v>
      </c>
      <c r="O111" s="7">
        <f t="shared" si="21"/>
        <v>5634.8342180027466</v>
      </c>
    </row>
    <row r="112" spans="1:15" s="6" customFormat="1" x14ac:dyDescent="0.2">
      <c r="A112" s="6">
        <f t="shared" si="14"/>
        <v>108</v>
      </c>
      <c r="B112" s="128">
        <f t="shared" si="15"/>
        <v>391.56012478955631</v>
      </c>
      <c r="C112" s="128">
        <f t="shared" si="11"/>
        <v>310.61188040950134</v>
      </c>
      <c r="D112" s="128">
        <f t="shared" si="12"/>
        <v>80.948244380055002</v>
      </c>
      <c r="E112" s="128">
        <f>SUM(C$5:C112)</f>
        <v>35905.446098412256</v>
      </c>
      <c r="F112" s="128">
        <f>SUM(D$5:D112)</f>
        <v>6383.0473788598392</v>
      </c>
      <c r="G112" s="128">
        <f>$D$1-'Amort Schedule - Investor'!F112</f>
        <v>49616.952621140161</v>
      </c>
      <c r="H112" s="124">
        <f t="shared" si="13"/>
        <v>0.88601701109178854</v>
      </c>
      <c r="J112" s="131">
        <f t="shared" si="16"/>
        <v>280</v>
      </c>
      <c r="K112" s="131">
        <f t="shared" si="17"/>
        <v>30240</v>
      </c>
      <c r="L112" s="128">
        <f t="shared" si="18"/>
        <v>111.56012478955631</v>
      </c>
      <c r="M112" s="128">
        <f t="shared" si="19"/>
        <v>12048.49347727207</v>
      </c>
      <c r="N112" s="128">
        <f t="shared" si="20"/>
        <v>30.611880409501339</v>
      </c>
      <c r="O112" s="128">
        <f t="shared" si="21"/>
        <v>5665.4460984122479</v>
      </c>
    </row>
    <row r="113" spans="1:15" x14ac:dyDescent="0.2">
      <c r="A113">
        <f t="shared" si="14"/>
        <v>109</v>
      </c>
      <c r="B113" s="7">
        <f t="shared" si="15"/>
        <v>391.56012478955631</v>
      </c>
      <c r="C113" s="7">
        <f t="shared" si="11"/>
        <v>310.10595388212596</v>
      </c>
      <c r="D113" s="7">
        <f t="shared" si="12"/>
        <v>81.454170907430353</v>
      </c>
      <c r="E113" s="7">
        <f>SUM(C$5:C113)</f>
        <v>36215.552052294384</v>
      </c>
      <c r="F113" s="7">
        <f>SUM(D$5:D113)</f>
        <v>6464.5015497672694</v>
      </c>
      <c r="G113" s="7">
        <f>$D$1-'Amort Schedule - Investor'!F113</f>
        <v>49535.498450232728</v>
      </c>
      <c r="H113" s="11">
        <f t="shared" si="13"/>
        <v>0.88456247232558438</v>
      </c>
      <c r="J113" s="127">
        <f t="shared" si="16"/>
        <v>280</v>
      </c>
      <c r="K113" s="127">
        <f t="shared" si="17"/>
        <v>30520</v>
      </c>
      <c r="L113" s="7">
        <f t="shared" si="18"/>
        <v>111.56012478955631</v>
      </c>
      <c r="M113" s="7">
        <f t="shared" si="19"/>
        <v>12160.053602061625</v>
      </c>
      <c r="N113" s="7">
        <f t="shared" si="20"/>
        <v>30.105953882125959</v>
      </c>
      <c r="O113" s="7">
        <f t="shared" si="21"/>
        <v>5695.5520522943734</v>
      </c>
    </row>
    <row r="114" spans="1:15" x14ac:dyDescent="0.2">
      <c r="A114">
        <f t="shared" si="14"/>
        <v>110</v>
      </c>
      <c r="B114" s="7">
        <f t="shared" si="15"/>
        <v>391.56012478955631</v>
      </c>
      <c r="C114" s="7">
        <f t="shared" si="11"/>
        <v>309.59686531395454</v>
      </c>
      <c r="D114" s="7">
        <f t="shared" si="12"/>
        <v>81.963259475601788</v>
      </c>
      <c r="E114" s="7">
        <f>SUM(C$5:C114)</f>
        <v>36525.148917608341</v>
      </c>
      <c r="F114" s="7">
        <f>SUM(D$5:D114)</f>
        <v>6546.4648092428715</v>
      </c>
      <c r="G114" s="7">
        <f>$D$1-'Amort Schedule - Investor'!F114</f>
        <v>49453.535190757131</v>
      </c>
      <c r="H114" s="11">
        <f t="shared" si="13"/>
        <v>0.8830988426920916</v>
      </c>
      <c r="J114" s="127">
        <f t="shared" si="16"/>
        <v>280</v>
      </c>
      <c r="K114" s="127">
        <f t="shared" si="17"/>
        <v>30800</v>
      </c>
      <c r="L114" s="7">
        <f t="shared" si="18"/>
        <v>111.56012478955631</v>
      </c>
      <c r="M114" s="7">
        <f t="shared" si="19"/>
        <v>12271.613726851181</v>
      </c>
      <c r="N114" s="7">
        <f t="shared" si="20"/>
        <v>29.596865313954538</v>
      </c>
      <c r="O114" s="7">
        <f t="shared" si="21"/>
        <v>5725.1489176083278</v>
      </c>
    </row>
    <row r="115" spans="1:15" x14ac:dyDescent="0.2">
      <c r="A115">
        <f t="shared" si="14"/>
        <v>111</v>
      </c>
      <c r="B115" s="7">
        <f t="shared" si="15"/>
        <v>391.56012478955631</v>
      </c>
      <c r="C115" s="7">
        <f t="shared" si="11"/>
        <v>309.084594942232</v>
      </c>
      <c r="D115" s="7">
        <f t="shared" si="12"/>
        <v>82.47552984732431</v>
      </c>
      <c r="E115" s="7">
        <f>SUM(C$5:C115)</f>
        <v>36834.233512550571</v>
      </c>
      <c r="F115" s="7">
        <f>SUM(D$5:D115)</f>
        <v>6628.9403390901962</v>
      </c>
      <c r="G115" s="7">
        <f>$D$1-'Amort Schedule - Investor'!F115</f>
        <v>49371.059660909807</v>
      </c>
      <c r="H115" s="11">
        <f t="shared" si="13"/>
        <v>0.88162606537338939</v>
      </c>
      <c r="J115" s="127">
        <f t="shared" si="16"/>
        <v>280</v>
      </c>
      <c r="K115" s="127">
        <f t="shared" si="17"/>
        <v>31080</v>
      </c>
      <c r="L115" s="7">
        <f t="shared" si="18"/>
        <v>111.56012478955631</v>
      </c>
      <c r="M115" s="7">
        <f t="shared" si="19"/>
        <v>12383.173851640737</v>
      </c>
      <c r="N115" s="7">
        <f t="shared" si="20"/>
        <v>29.084594942232002</v>
      </c>
      <c r="O115" s="7">
        <f t="shared" si="21"/>
        <v>5754.2335125505597</v>
      </c>
    </row>
    <row r="116" spans="1:15" x14ac:dyDescent="0.2">
      <c r="A116">
        <f t="shared" si="14"/>
        <v>112</v>
      </c>
      <c r="B116" s="7">
        <f t="shared" si="15"/>
        <v>391.56012478955631</v>
      </c>
      <c r="C116" s="7">
        <f t="shared" si="11"/>
        <v>308.56912288068628</v>
      </c>
      <c r="D116" s="7">
        <f t="shared" si="12"/>
        <v>82.991001908870089</v>
      </c>
      <c r="E116" s="7">
        <f>SUM(C$5:C116)</f>
        <v>37142.802635431253</v>
      </c>
      <c r="F116" s="7">
        <f>SUM(D$5:D116)</f>
        <v>6711.9313409990664</v>
      </c>
      <c r="G116" s="7">
        <f>$D$1-'Amort Schedule - Investor'!F116</f>
        <v>49288.068659000935</v>
      </c>
      <c r="H116" s="11">
        <f t="shared" si="13"/>
        <v>0.88014408319644533</v>
      </c>
      <c r="J116" s="127">
        <f t="shared" si="16"/>
        <v>280</v>
      </c>
      <c r="K116" s="127">
        <f t="shared" si="17"/>
        <v>31360</v>
      </c>
      <c r="L116" s="7">
        <f t="shared" si="18"/>
        <v>111.56012478955631</v>
      </c>
      <c r="M116" s="7">
        <f t="shared" si="19"/>
        <v>12494.733976430292</v>
      </c>
      <c r="N116" s="7">
        <f t="shared" si="20"/>
        <v>28.56912288068628</v>
      </c>
      <c r="O116" s="7">
        <f t="shared" si="21"/>
        <v>5782.802635431246</v>
      </c>
    </row>
    <row r="117" spans="1:15" x14ac:dyDescent="0.2">
      <c r="A117">
        <f t="shared" si="14"/>
        <v>113</v>
      </c>
      <c r="B117" s="7">
        <f t="shared" si="15"/>
        <v>391.56012478955631</v>
      </c>
      <c r="C117" s="7">
        <f t="shared" si="11"/>
        <v>308.0504291187558</v>
      </c>
      <c r="D117" s="7">
        <f t="shared" si="12"/>
        <v>83.509695670800511</v>
      </c>
      <c r="E117" s="7">
        <f>SUM(C$5:C117)</f>
        <v>37450.853064550007</v>
      </c>
      <c r="F117" s="7">
        <f>SUM(D$5:D117)</f>
        <v>6795.4410366698667</v>
      </c>
      <c r="G117" s="7">
        <f>$D$1-'Amort Schedule - Investor'!F117</f>
        <v>49204.558963330135</v>
      </c>
      <c r="H117" s="11">
        <f t="shared" si="13"/>
        <v>0.87865283863089527</v>
      </c>
      <c r="J117" s="127">
        <f t="shared" si="16"/>
        <v>280</v>
      </c>
      <c r="K117" s="127">
        <f t="shared" si="17"/>
        <v>31640</v>
      </c>
      <c r="L117" s="7">
        <f t="shared" si="18"/>
        <v>111.56012478955631</v>
      </c>
      <c r="M117" s="7">
        <f t="shared" si="19"/>
        <v>12606.294101219848</v>
      </c>
      <c r="N117" s="7">
        <f t="shared" si="20"/>
        <v>28.050429118755801</v>
      </c>
      <c r="O117" s="7">
        <f t="shared" si="21"/>
        <v>5810.8530645500014</v>
      </c>
    </row>
    <row r="118" spans="1:15" x14ac:dyDescent="0.2">
      <c r="A118">
        <f t="shared" si="14"/>
        <v>114</v>
      </c>
      <c r="B118" s="7">
        <f t="shared" si="15"/>
        <v>391.56012478955631</v>
      </c>
      <c r="C118" s="7">
        <f t="shared" si="11"/>
        <v>307.5284935208133</v>
      </c>
      <c r="D118" s="7">
        <f t="shared" si="12"/>
        <v>84.031631268743013</v>
      </c>
      <c r="E118" s="7">
        <f>SUM(C$5:C118)</f>
        <v>37758.381558070818</v>
      </c>
      <c r="F118" s="7">
        <f>SUM(D$5:D118)</f>
        <v>6879.4726679386094</v>
      </c>
      <c r="G118" s="7">
        <f>$D$1-'Amort Schedule - Investor'!F118</f>
        <v>49120.527332061392</v>
      </c>
      <c r="H118" s="11">
        <f t="shared" si="13"/>
        <v>0.8771522737868106</v>
      </c>
      <c r="J118" s="127">
        <f t="shared" si="16"/>
        <v>280</v>
      </c>
      <c r="K118" s="127">
        <f t="shared" si="17"/>
        <v>31920</v>
      </c>
      <c r="L118" s="7">
        <f t="shared" si="18"/>
        <v>111.56012478955631</v>
      </c>
      <c r="M118" s="7">
        <f t="shared" si="19"/>
        <v>12717.854226009404</v>
      </c>
      <c r="N118" s="7">
        <f t="shared" si="20"/>
        <v>27.528493520813299</v>
      </c>
      <c r="O118" s="7">
        <f t="shared" si="21"/>
        <v>5838.3815580708142</v>
      </c>
    </row>
    <row r="119" spans="1:15" x14ac:dyDescent="0.2">
      <c r="A119">
        <f t="shared" si="14"/>
        <v>115</v>
      </c>
      <c r="B119" s="7">
        <f t="shared" si="15"/>
        <v>391.56012478955631</v>
      </c>
      <c r="C119" s="7">
        <f t="shared" si="11"/>
        <v>307.0032958253837</v>
      </c>
      <c r="D119" s="7">
        <f t="shared" si="12"/>
        <v>84.556828964172666</v>
      </c>
      <c r="E119" s="7">
        <f>SUM(C$5:C119)</f>
        <v>38065.384853896205</v>
      </c>
      <c r="F119" s="7">
        <f>SUM(D$5:D119)</f>
        <v>6964.0294969027818</v>
      </c>
      <c r="G119" s="7">
        <f>$D$1-'Amort Schedule - Investor'!F119</f>
        <v>49035.970503097218</v>
      </c>
      <c r="H119" s="11">
        <f t="shared" si="13"/>
        <v>0.87564233041245032</v>
      </c>
      <c r="J119" s="127">
        <f t="shared" si="16"/>
        <v>280</v>
      </c>
      <c r="K119" s="127">
        <f t="shared" si="17"/>
        <v>32200</v>
      </c>
      <c r="L119" s="7">
        <f t="shared" si="18"/>
        <v>111.56012478955631</v>
      </c>
      <c r="M119" s="7">
        <f t="shared" si="19"/>
        <v>12829.414350798959</v>
      </c>
      <c r="N119" s="7">
        <f t="shared" si="20"/>
        <v>27.003295825383702</v>
      </c>
      <c r="O119" s="7">
        <f t="shared" si="21"/>
        <v>5865.3848538961975</v>
      </c>
    </row>
    <row r="120" spans="1:15" x14ac:dyDescent="0.2">
      <c r="A120">
        <f t="shared" si="14"/>
        <v>116</v>
      </c>
      <c r="B120" s="7">
        <f t="shared" si="15"/>
        <v>391.56012478955631</v>
      </c>
      <c r="C120" s="7">
        <f t="shared" si="11"/>
        <v>306.47481564435759</v>
      </c>
      <c r="D120" s="7">
        <f t="shared" si="12"/>
        <v>85.085309145198735</v>
      </c>
      <c r="E120" s="7">
        <f>SUM(C$5:C120)</f>
        <v>38371.859669540565</v>
      </c>
      <c r="F120" s="7">
        <f>SUM(D$5:D120)</f>
        <v>7049.1148060479809</v>
      </c>
      <c r="G120" s="7">
        <f>$D$1-'Amort Schedule - Investor'!F120</f>
        <v>48950.885193952017</v>
      </c>
      <c r="H120" s="11">
        <f t="shared" si="13"/>
        <v>0.87412294989200034</v>
      </c>
      <c r="J120" s="127">
        <f t="shared" si="16"/>
        <v>280</v>
      </c>
      <c r="K120" s="127">
        <f t="shared" si="17"/>
        <v>32480</v>
      </c>
      <c r="L120" s="7">
        <f t="shared" si="18"/>
        <v>111.56012478955631</v>
      </c>
      <c r="M120" s="7">
        <f t="shared" si="19"/>
        <v>12940.974475588515</v>
      </c>
      <c r="N120" s="7">
        <f t="shared" si="20"/>
        <v>26.474815644357591</v>
      </c>
      <c r="O120" s="7">
        <f t="shared" si="21"/>
        <v>5891.8596695405549</v>
      </c>
    </row>
    <row r="121" spans="1:15" x14ac:dyDescent="0.2">
      <c r="A121">
        <f t="shared" si="14"/>
        <v>117</v>
      </c>
      <c r="B121" s="7">
        <f t="shared" si="15"/>
        <v>391.56012478955631</v>
      </c>
      <c r="C121" s="7">
        <f t="shared" si="11"/>
        <v>305.94303246220011</v>
      </c>
      <c r="D121" s="7">
        <f t="shared" si="12"/>
        <v>85.617092327356218</v>
      </c>
      <c r="E121" s="7">
        <f>SUM(C$5:C121)</f>
        <v>38677.802702002766</v>
      </c>
      <c r="F121" s="7">
        <f>SUM(D$5:D121)</f>
        <v>7134.7318983753376</v>
      </c>
      <c r="G121" s="7">
        <f>$D$1-'Amort Schedule - Investor'!F121</f>
        <v>48865.268101624664</v>
      </c>
      <c r="H121" s="11">
        <f t="shared" si="13"/>
        <v>0.87259407324329763</v>
      </c>
      <c r="J121" s="127">
        <f t="shared" si="16"/>
        <v>280</v>
      </c>
      <c r="K121" s="127">
        <f t="shared" si="17"/>
        <v>32760</v>
      </c>
      <c r="L121" s="7">
        <f t="shared" si="18"/>
        <v>111.56012478955631</v>
      </c>
      <c r="M121" s="7">
        <f t="shared" si="19"/>
        <v>13052.534600378071</v>
      </c>
      <c r="N121" s="7">
        <f t="shared" si="20"/>
        <v>25.943032462200108</v>
      </c>
      <c r="O121" s="7">
        <f t="shared" si="21"/>
        <v>5917.8027020027548</v>
      </c>
    </row>
    <row r="122" spans="1:15" x14ac:dyDescent="0.2">
      <c r="A122">
        <f t="shared" si="14"/>
        <v>118</v>
      </c>
      <c r="B122" s="7">
        <f t="shared" si="15"/>
        <v>391.56012478955631</v>
      </c>
      <c r="C122" s="7">
        <f t="shared" si="11"/>
        <v>305.40792563515413</v>
      </c>
      <c r="D122" s="7">
        <f t="shared" si="12"/>
        <v>86.152199154402197</v>
      </c>
      <c r="E122" s="7">
        <f>SUM(C$5:C122)</f>
        <v>38983.21062763792</v>
      </c>
      <c r="F122" s="7">
        <f>SUM(D$5:D122)</f>
        <v>7220.8840975297398</v>
      </c>
      <c r="G122" s="7">
        <f>$D$1-'Amort Schedule - Investor'!F122</f>
        <v>48779.115902470257</v>
      </c>
      <c r="H122" s="11">
        <f t="shared" si="13"/>
        <v>0.87105564111554035</v>
      </c>
      <c r="J122" s="127">
        <f t="shared" si="16"/>
        <v>280</v>
      </c>
      <c r="K122" s="127">
        <f t="shared" si="17"/>
        <v>33040</v>
      </c>
      <c r="L122" s="7">
        <f t="shared" si="18"/>
        <v>111.56012478955631</v>
      </c>
      <c r="M122" s="7">
        <f t="shared" si="19"/>
        <v>13164.094725167626</v>
      </c>
      <c r="N122" s="7">
        <f t="shared" si="20"/>
        <v>25.407925635154129</v>
      </c>
      <c r="O122" s="7">
        <f t="shared" si="21"/>
        <v>5943.2106276379091</v>
      </c>
    </row>
    <row r="123" spans="1:15" x14ac:dyDescent="0.2">
      <c r="A123">
        <f t="shared" si="14"/>
        <v>119</v>
      </c>
      <c r="B123" s="7">
        <f t="shared" si="15"/>
        <v>391.56012478955631</v>
      </c>
      <c r="C123" s="7">
        <f t="shared" si="11"/>
        <v>304.86947439043911</v>
      </c>
      <c r="D123" s="7">
        <f t="shared" si="12"/>
        <v>86.690650399117203</v>
      </c>
      <c r="E123" s="7">
        <f>SUM(C$5:C123)</f>
        <v>39288.080102028362</v>
      </c>
      <c r="F123" s="7">
        <f>SUM(D$5:D123)</f>
        <v>7307.5747479288566</v>
      </c>
      <c r="G123" s="7">
        <f>$D$1-'Amort Schedule - Investor'!F123</f>
        <v>48692.425252071145</v>
      </c>
      <c r="H123" s="11">
        <f t="shared" si="13"/>
        <v>0.86950759378698472</v>
      </c>
      <c r="J123" s="127">
        <f t="shared" si="16"/>
        <v>280</v>
      </c>
      <c r="K123" s="127">
        <f t="shared" si="17"/>
        <v>33320</v>
      </c>
      <c r="L123" s="7">
        <f t="shared" si="18"/>
        <v>111.56012478955631</v>
      </c>
      <c r="M123" s="7">
        <f t="shared" si="19"/>
        <v>13275.654849957182</v>
      </c>
      <c r="N123" s="7">
        <f t="shared" si="20"/>
        <v>24.869474390439109</v>
      </c>
      <c r="O123" s="7">
        <f t="shared" si="21"/>
        <v>5968.0801020283479</v>
      </c>
    </row>
    <row r="124" spans="1:15" s="6" customFormat="1" x14ac:dyDescent="0.2">
      <c r="A124" s="6">
        <f t="shared" si="14"/>
        <v>120</v>
      </c>
      <c r="B124" s="128">
        <f t="shared" si="15"/>
        <v>391.56012478955631</v>
      </c>
      <c r="C124" s="128">
        <f t="shared" si="11"/>
        <v>304.32765782544465</v>
      </c>
      <c r="D124" s="128">
        <f t="shared" si="12"/>
        <v>87.232466964111694</v>
      </c>
      <c r="E124" s="128">
        <f>SUM(C$5:C124)</f>
        <v>39592.407759853806</v>
      </c>
      <c r="F124" s="128">
        <f>SUM(D$5:D124)</f>
        <v>7394.8072148929687</v>
      </c>
      <c r="G124" s="128">
        <f>$D$1-'Amort Schedule - Investor'!F124</f>
        <v>48605.192785107029</v>
      </c>
      <c r="H124" s="124">
        <f t="shared" si="13"/>
        <v>0.86794987116262556</v>
      </c>
      <c r="J124" s="131">
        <f t="shared" si="16"/>
        <v>280</v>
      </c>
      <c r="K124" s="131">
        <f t="shared" si="17"/>
        <v>33600</v>
      </c>
      <c r="L124" s="128">
        <f t="shared" si="18"/>
        <v>111.56012478955631</v>
      </c>
      <c r="M124" s="128">
        <f t="shared" si="19"/>
        <v>13387.214974746737</v>
      </c>
      <c r="N124" s="128">
        <f t="shared" si="20"/>
        <v>24.327657825444646</v>
      </c>
      <c r="O124" s="128">
        <f t="shared" si="21"/>
        <v>5992.4077598537924</v>
      </c>
    </row>
    <row r="125" spans="1:15" x14ac:dyDescent="0.2">
      <c r="A125">
        <f t="shared" si="14"/>
        <v>121</v>
      </c>
      <c r="B125" s="7">
        <f t="shared" si="15"/>
        <v>391.56012478955631</v>
      </c>
      <c r="C125" s="7">
        <f t="shared" si="11"/>
        <v>303.78245490691893</v>
      </c>
      <c r="D125" s="7">
        <f t="shared" si="12"/>
        <v>87.777669882637383</v>
      </c>
      <c r="E125" s="7">
        <f>SUM(C$5:C125)</f>
        <v>39896.190214760725</v>
      </c>
      <c r="F125" s="7">
        <f>SUM(D$5:D125)</f>
        <v>7482.584884775606</v>
      </c>
      <c r="G125" s="7">
        <f>$D$1-'Amort Schedule - Investor'!F125</f>
        <v>48517.415115224394</v>
      </c>
      <c r="H125" s="11">
        <f t="shared" si="13"/>
        <v>0.86638241277186423</v>
      </c>
      <c r="J125" s="127">
        <f t="shared" si="16"/>
        <v>280</v>
      </c>
      <c r="K125" s="127">
        <f t="shared" si="17"/>
        <v>33880</v>
      </c>
      <c r="L125" s="7">
        <f t="shared" si="18"/>
        <v>111.56012478955631</v>
      </c>
      <c r="M125" s="7">
        <f t="shared" si="19"/>
        <v>13498.775099536293</v>
      </c>
      <c r="N125" s="7">
        <f t="shared" si="20"/>
        <v>23.782454906918929</v>
      </c>
      <c r="O125" s="7">
        <f t="shared" si="21"/>
        <v>6016.1902147607116</v>
      </c>
    </row>
    <row r="126" spans="1:15" x14ac:dyDescent="0.2">
      <c r="A126">
        <f t="shared" si="14"/>
        <v>122</v>
      </c>
      <c r="B126" s="7">
        <f t="shared" si="15"/>
        <v>391.56012478955631</v>
      </c>
      <c r="C126" s="7">
        <f t="shared" si="11"/>
        <v>303.23384447015246</v>
      </c>
      <c r="D126" s="7">
        <f t="shared" si="12"/>
        <v>88.326280319403878</v>
      </c>
      <c r="E126" s="7">
        <f>SUM(C$5:C126)</f>
        <v>40199.424059230878</v>
      </c>
      <c r="F126" s="7">
        <f>SUM(D$5:D126)</f>
        <v>7570.9111650950099</v>
      </c>
      <c r="G126" s="7">
        <f>$D$1-'Amort Schedule - Investor'!F126</f>
        <v>48429.088834904993</v>
      </c>
      <c r="H126" s="11">
        <f t="shared" si="13"/>
        <v>0.86480515776616063</v>
      </c>
      <c r="J126" s="127">
        <f t="shared" si="16"/>
        <v>280</v>
      </c>
      <c r="K126" s="127">
        <f t="shared" si="17"/>
        <v>34160</v>
      </c>
      <c r="L126" s="7">
        <f t="shared" si="18"/>
        <v>111.56012478955631</v>
      </c>
      <c r="M126" s="7">
        <f t="shared" si="19"/>
        <v>13610.335224325849</v>
      </c>
      <c r="N126" s="7">
        <f t="shared" si="20"/>
        <v>23.233844470152462</v>
      </c>
      <c r="O126" s="7">
        <f t="shared" si="21"/>
        <v>6039.4240592308643</v>
      </c>
    </row>
    <row r="127" spans="1:15" x14ac:dyDescent="0.2">
      <c r="A127">
        <f t="shared" si="14"/>
        <v>123</v>
      </c>
      <c r="B127" s="7">
        <f t="shared" si="15"/>
        <v>391.56012478955631</v>
      </c>
      <c r="C127" s="7">
        <f t="shared" si="11"/>
        <v>302.68180521815617</v>
      </c>
      <c r="D127" s="7">
        <f t="shared" si="12"/>
        <v>88.878319571400155</v>
      </c>
      <c r="E127" s="7">
        <f>SUM(C$5:C127)</f>
        <v>40502.105864449033</v>
      </c>
      <c r="F127" s="7">
        <f>SUM(D$5:D127)</f>
        <v>7659.7894846664103</v>
      </c>
      <c r="G127" s="7">
        <f>$D$1-'Amort Schedule - Investor'!F127</f>
        <v>48340.210515333587</v>
      </c>
      <c r="H127" s="11">
        <f t="shared" si="13"/>
        <v>0.8632180449166712</v>
      </c>
      <c r="J127" s="127">
        <f t="shared" si="16"/>
        <v>280</v>
      </c>
      <c r="K127" s="127">
        <f t="shared" si="17"/>
        <v>34440</v>
      </c>
      <c r="L127" s="7">
        <f t="shared" si="18"/>
        <v>111.56012478955631</v>
      </c>
      <c r="M127" s="7">
        <f t="shared" si="19"/>
        <v>13721.895349115404</v>
      </c>
      <c r="N127" s="7">
        <f t="shared" si="20"/>
        <v>22.681805218156171</v>
      </c>
      <c r="O127" s="7">
        <f t="shared" si="21"/>
        <v>6062.1058644490204</v>
      </c>
    </row>
    <row r="128" spans="1:15" x14ac:dyDescent="0.2">
      <c r="A128">
        <f t="shared" si="14"/>
        <v>124</v>
      </c>
      <c r="B128" s="7">
        <f t="shared" si="15"/>
        <v>391.56012478955631</v>
      </c>
      <c r="C128" s="7">
        <f t="shared" si="11"/>
        <v>302.12631572083495</v>
      </c>
      <c r="D128" s="7">
        <f t="shared" si="12"/>
        <v>89.433809068721402</v>
      </c>
      <c r="E128" s="7">
        <f>SUM(C$5:C128)</f>
        <v>40804.232180169871</v>
      </c>
      <c r="F128" s="7">
        <f>SUM(D$5:D128)</f>
        <v>7749.2232937351318</v>
      </c>
      <c r="G128" s="7">
        <f>$D$1-'Amort Schedule - Investor'!F128</f>
        <v>48250.776706264871</v>
      </c>
      <c r="H128" s="11">
        <f t="shared" si="13"/>
        <v>0.86162101261187274</v>
      </c>
      <c r="J128" s="127">
        <f t="shared" si="16"/>
        <v>280</v>
      </c>
      <c r="K128" s="127">
        <f t="shared" si="17"/>
        <v>34720</v>
      </c>
      <c r="L128" s="7">
        <f t="shared" si="18"/>
        <v>111.56012478955631</v>
      </c>
      <c r="M128" s="7">
        <f t="shared" si="19"/>
        <v>13833.45547390496</v>
      </c>
      <c r="N128" s="7">
        <f t="shared" si="20"/>
        <v>22.126315720834953</v>
      </c>
      <c r="O128" s="7">
        <f t="shared" si="21"/>
        <v>6084.2321801698554</v>
      </c>
    </row>
    <row r="129" spans="1:15" x14ac:dyDescent="0.2">
      <c r="A129">
        <f t="shared" si="14"/>
        <v>125</v>
      </c>
      <c r="B129" s="7">
        <f t="shared" si="15"/>
        <v>391.56012478955631</v>
      </c>
      <c r="C129" s="7">
        <f t="shared" si="11"/>
        <v>301.56735441415543</v>
      </c>
      <c r="D129" s="7">
        <f t="shared" si="12"/>
        <v>89.992770375400923</v>
      </c>
      <c r="E129" s="7">
        <f>SUM(C$5:C129)</f>
        <v>41105.799534584025</v>
      </c>
      <c r="F129" s="7">
        <f>SUM(D$5:D129)</f>
        <v>7839.2160641105329</v>
      </c>
      <c r="G129" s="7">
        <f>$D$1-'Amort Schedule - Investor'!F129</f>
        <v>48160.783935889471</v>
      </c>
      <c r="H129" s="11">
        <f t="shared" si="13"/>
        <v>0.86001399885516916</v>
      </c>
      <c r="J129" s="127">
        <f t="shared" si="16"/>
        <v>280</v>
      </c>
      <c r="K129" s="127">
        <f t="shared" si="17"/>
        <v>35000</v>
      </c>
      <c r="L129" s="7">
        <f t="shared" si="18"/>
        <v>111.56012478955631</v>
      </c>
      <c r="M129" s="7">
        <f t="shared" si="19"/>
        <v>13945.015598694516</v>
      </c>
      <c r="N129" s="7">
        <f t="shared" si="20"/>
        <v>21.567354414155432</v>
      </c>
      <c r="O129" s="7">
        <f t="shared" si="21"/>
        <v>6105.7995345840109</v>
      </c>
    </row>
    <row r="130" spans="1:15" x14ac:dyDescent="0.2">
      <c r="A130">
        <f t="shared" si="14"/>
        <v>126</v>
      </c>
      <c r="B130" s="7">
        <f t="shared" si="15"/>
        <v>391.56012478955631</v>
      </c>
      <c r="C130" s="7">
        <f t="shared" si="11"/>
        <v>301.00489959930911</v>
      </c>
      <c r="D130" s="7">
        <f t="shared" si="12"/>
        <v>90.555225190247171</v>
      </c>
      <c r="E130" s="7">
        <f>SUM(C$5:C130)</f>
        <v>41406.80443418333</v>
      </c>
      <c r="F130" s="7">
        <f>SUM(D$5:D130)</f>
        <v>7929.7712893007802</v>
      </c>
      <c r="G130" s="7">
        <f>$D$1-'Amort Schedule - Investor'!F130</f>
        <v>48070.228710699223</v>
      </c>
      <c r="H130" s="11">
        <f t="shared" si="13"/>
        <v>0.85839694126248611</v>
      </c>
      <c r="J130" s="127">
        <f t="shared" si="16"/>
        <v>280</v>
      </c>
      <c r="K130" s="127">
        <f t="shared" si="17"/>
        <v>35280</v>
      </c>
      <c r="L130" s="7">
        <f t="shared" si="18"/>
        <v>111.56012478955631</v>
      </c>
      <c r="M130" s="7">
        <f t="shared" si="19"/>
        <v>14056.575723484071</v>
      </c>
      <c r="N130" s="7">
        <f t="shared" si="20"/>
        <v>21.004899599309113</v>
      </c>
      <c r="O130" s="7">
        <f t="shared" si="21"/>
        <v>6126.8044341833202</v>
      </c>
    </row>
    <row r="131" spans="1:15" x14ac:dyDescent="0.2">
      <c r="A131">
        <f t="shared" si="14"/>
        <v>127</v>
      </c>
      <c r="B131" s="7">
        <f t="shared" si="15"/>
        <v>391.56012478955631</v>
      </c>
      <c r="C131" s="7">
        <f t="shared" si="11"/>
        <v>300.43892944187013</v>
      </c>
      <c r="D131" s="7">
        <f t="shared" si="12"/>
        <v>91.121195347686225</v>
      </c>
      <c r="E131" s="7">
        <f>SUM(C$5:C131)</f>
        <v>41707.243363625203</v>
      </c>
      <c r="F131" s="7">
        <f>SUM(D$5:D131)</f>
        <v>8020.8924846484661</v>
      </c>
      <c r="G131" s="7">
        <f>$D$1-'Amort Schedule - Investor'!F131</f>
        <v>47979.107515351534</v>
      </c>
      <c r="H131" s="11">
        <f t="shared" si="13"/>
        <v>0.8567697770598488</v>
      </c>
      <c r="J131" s="127">
        <f t="shared" si="16"/>
        <v>280</v>
      </c>
      <c r="K131" s="127">
        <f t="shared" si="17"/>
        <v>35560</v>
      </c>
      <c r="L131" s="7">
        <f t="shared" si="18"/>
        <v>111.56012478955631</v>
      </c>
      <c r="M131" s="7">
        <f t="shared" si="19"/>
        <v>14168.135848273627</v>
      </c>
      <c r="N131" s="7">
        <f t="shared" si="20"/>
        <v>20.43892944187013</v>
      </c>
      <c r="O131" s="7">
        <f t="shared" si="21"/>
        <v>6147.2433636251899</v>
      </c>
    </row>
    <row r="132" spans="1:15" x14ac:dyDescent="0.2">
      <c r="A132">
        <f t="shared" si="14"/>
        <v>128</v>
      </c>
      <c r="B132" s="7">
        <f t="shared" si="15"/>
        <v>391.56012478955631</v>
      </c>
      <c r="C132" s="7">
        <f t="shared" si="11"/>
        <v>299.86942197094709</v>
      </c>
      <c r="D132" s="7">
        <f t="shared" si="12"/>
        <v>91.690702818609267</v>
      </c>
      <c r="E132" s="7">
        <f>SUM(C$5:C132)</f>
        <v>42007.112785596153</v>
      </c>
      <c r="F132" s="7">
        <f>SUM(D$5:D132)</f>
        <v>8112.5831874670757</v>
      </c>
      <c r="G132" s="7">
        <f>$D$1-'Amort Schedule - Investor'!F132</f>
        <v>47887.416812532923</v>
      </c>
      <c r="H132" s="11">
        <f t="shared" si="13"/>
        <v>0.85513244308094505</v>
      </c>
      <c r="J132" s="127">
        <f t="shared" si="16"/>
        <v>280</v>
      </c>
      <c r="K132" s="127">
        <f t="shared" si="17"/>
        <v>35840</v>
      </c>
      <c r="L132" s="7">
        <f t="shared" si="18"/>
        <v>111.56012478955631</v>
      </c>
      <c r="M132" s="7">
        <f t="shared" si="19"/>
        <v>14279.695973063182</v>
      </c>
      <c r="N132" s="7">
        <f t="shared" si="20"/>
        <v>19.869421970947087</v>
      </c>
      <c r="O132" s="7">
        <f t="shared" si="21"/>
        <v>6167.1127855961367</v>
      </c>
    </row>
    <row r="133" spans="1:15" x14ac:dyDescent="0.2">
      <c r="A133">
        <f t="shared" si="14"/>
        <v>129</v>
      </c>
      <c r="B133" s="7">
        <f t="shared" si="15"/>
        <v>391.56012478955631</v>
      </c>
      <c r="C133" s="7">
        <f t="shared" si="11"/>
        <v>299.29635507833075</v>
      </c>
      <c r="D133" s="7">
        <f t="shared" si="12"/>
        <v>92.263769711225564</v>
      </c>
      <c r="E133" s="7">
        <f>SUM(C$5:C133)</f>
        <v>42306.409140674485</v>
      </c>
      <c r="F133" s="7">
        <f>SUM(D$5:D133)</f>
        <v>8204.8469571783007</v>
      </c>
      <c r="G133" s="7">
        <f>$D$1-'Amort Schedule - Investor'!F133</f>
        <v>47795.153042821701</v>
      </c>
      <c r="H133" s="11">
        <f t="shared" si="13"/>
        <v>0.85348487576467325</v>
      </c>
      <c r="J133" s="127">
        <f t="shared" si="16"/>
        <v>280</v>
      </c>
      <c r="K133" s="127">
        <f t="shared" si="17"/>
        <v>36120</v>
      </c>
      <c r="L133" s="7">
        <f t="shared" si="18"/>
        <v>111.56012478955631</v>
      </c>
      <c r="M133" s="7">
        <f t="shared" si="19"/>
        <v>14391.256097852738</v>
      </c>
      <c r="N133" s="7">
        <f t="shared" si="20"/>
        <v>19.296355078330748</v>
      </c>
      <c r="O133" s="7">
        <f t="shared" si="21"/>
        <v>6186.4091406744674</v>
      </c>
    </row>
    <row r="134" spans="1:15" x14ac:dyDescent="0.2">
      <c r="A134">
        <f t="shared" si="14"/>
        <v>130</v>
      </c>
      <c r="B134" s="7">
        <f t="shared" si="15"/>
        <v>391.56012478955631</v>
      </c>
      <c r="C134" s="7">
        <f t="shared" ref="C134:C197" si="22">-IPMT($D$2/12,A134,$D$3,$D$1)</f>
        <v>298.71970651763559</v>
      </c>
      <c r="D134" s="7">
        <f t="shared" ref="D134:D197" si="23">-PPMT($D$2/12,A134,$D$3,$D$1)</f>
        <v>92.840418271920711</v>
      </c>
      <c r="E134" s="7">
        <f>SUM(C$5:C134)</f>
        <v>42605.128847192122</v>
      </c>
      <c r="F134" s="7">
        <f>SUM(D$5:D134)</f>
        <v>8297.6873754502212</v>
      </c>
      <c r="G134" s="7">
        <f>$D$1-'Amort Schedule - Investor'!F134</f>
        <v>47702.312624549777</v>
      </c>
      <c r="H134" s="11">
        <f t="shared" ref="H134:H197" si="24">G134/$D$1</f>
        <v>0.85182701115267456</v>
      </c>
      <c r="J134" s="127">
        <f t="shared" si="16"/>
        <v>280</v>
      </c>
      <c r="K134" s="127">
        <f t="shared" si="17"/>
        <v>36400</v>
      </c>
      <c r="L134" s="7">
        <f t="shared" si="18"/>
        <v>111.56012478955631</v>
      </c>
      <c r="M134" s="7">
        <f t="shared" si="19"/>
        <v>14502.816222642294</v>
      </c>
      <c r="N134" s="7">
        <f t="shared" si="20"/>
        <v>18.719706517635586</v>
      </c>
      <c r="O134" s="7">
        <f t="shared" si="21"/>
        <v>6205.1288471921034</v>
      </c>
    </row>
    <row r="135" spans="1:15" x14ac:dyDescent="0.2">
      <c r="A135">
        <f t="shared" ref="A135:A198" si="25">A134+1</f>
        <v>131</v>
      </c>
      <c r="B135" s="7">
        <f t="shared" ref="B135:B198" si="26">B134</f>
        <v>391.56012478955631</v>
      </c>
      <c r="C135" s="7">
        <f t="shared" si="22"/>
        <v>298.13945390343611</v>
      </c>
      <c r="D135" s="7">
        <f t="shared" si="23"/>
        <v>93.420670886120234</v>
      </c>
      <c r="E135" s="7">
        <f>SUM(C$5:C135)</f>
        <v>42903.268301095559</v>
      </c>
      <c r="F135" s="7">
        <f>SUM(D$5:D135)</f>
        <v>8391.1080463363414</v>
      </c>
      <c r="G135" s="7">
        <f>$D$1-'Amort Schedule - Investor'!F135</f>
        <v>47608.89195366366</v>
      </c>
      <c r="H135" s="11">
        <f t="shared" si="24"/>
        <v>0.85015878488685104</v>
      </c>
      <c r="J135" s="127">
        <f t="shared" ref="J135:J198" si="27">J134</f>
        <v>280</v>
      </c>
      <c r="K135" s="127">
        <f t="shared" ref="K135:K198" si="28">J135+K134</f>
        <v>36680</v>
      </c>
      <c r="L135" s="7">
        <f t="shared" ref="L135:L198" si="29">B135-J135</f>
        <v>111.56012478955631</v>
      </c>
      <c r="M135" s="7">
        <f t="shared" ref="M135:M198" si="30">M134+L135</f>
        <v>14614.376347431849</v>
      </c>
      <c r="N135" s="7">
        <f t="shared" ref="N135:N198" si="31">C135-J135</f>
        <v>18.139453903436106</v>
      </c>
      <c r="O135" s="7">
        <f t="shared" ref="O135:O198" si="32">O134+N135</f>
        <v>6223.2683010955398</v>
      </c>
    </row>
    <row r="136" spans="1:15" s="6" customFormat="1" x14ac:dyDescent="0.2">
      <c r="A136" s="6">
        <f t="shared" si="25"/>
        <v>132</v>
      </c>
      <c r="B136" s="128">
        <f t="shared" si="26"/>
        <v>391.56012478955631</v>
      </c>
      <c r="C136" s="128">
        <f t="shared" si="22"/>
        <v>297.55557471039788</v>
      </c>
      <c r="D136" s="128">
        <f t="shared" si="23"/>
        <v>94.004550079158477</v>
      </c>
      <c r="E136" s="128">
        <f>SUM(C$5:C136)</f>
        <v>43200.82387580596</v>
      </c>
      <c r="F136" s="128">
        <f>SUM(D$5:D136)</f>
        <v>8485.1125964154999</v>
      </c>
      <c r="G136" s="128">
        <f>$D$1-'Amort Schedule - Investor'!F136</f>
        <v>47514.8874035845</v>
      </c>
      <c r="H136" s="124">
        <f t="shared" si="24"/>
        <v>0.84848013220686602</v>
      </c>
      <c r="J136" s="127">
        <f t="shared" si="27"/>
        <v>280</v>
      </c>
      <c r="K136" s="127">
        <f t="shared" si="28"/>
        <v>36960</v>
      </c>
      <c r="L136" s="7">
        <f t="shared" si="29"/>
        <v>111.56012478955631</v>
      </c>
      <c r="M136" s="7">
        <f t="shared" si="30"/>
        <v>14725.936472221405</v>
      </c>
      <c r="N136" s="7">
        <f t="shared" si="31"/>
        <v>17.555574710397877</v>
      </c>
      <c r="O136" s="7">
        <f t="shared" si="32"/>
        <v>6240.8238758059379</v>
      </c>
    </row>
    <row r="137" spans="1:15" x14ac:dyDescent="0.2">
      <c r="A137">
        <f t="shared" si="25"/>
        <v>133</v>
      </c>
      <c r="B137" s="7">
        <f t="shared" si="26"/>
        <v>391.56012478955631</v>
      </c>
      <c r="C137" s="7">
        <f t="shared" si="22"/>
        <v>296.96804627240311</v>
      </c>
      <c r="D137" s="7">
        <f t="shared" si="23"/>
        <v>94.592078517153226</v>
      </c>
      <c r="E137" s="7">
        <f>SUM(C$5:C137)</f>
        <v>43497.791922078366</v>
      </c>
      <c r="F137" s="7">
        <f>SUM(D$5:D137)</f>
        <v>8579.7046749326528</v>
      </c>
      <c r="G137" s="7">
        <f>$D$1-'Amort Schedule - Investor'!F137</f>
        <v>47420.295325067345</v>
      </c>
      <c r="H137" s="11">
        <f t="shared" si="24"/>
        <v>0.84679098794763119</v>
      </c>
      <c r="J137" s="127">
        <f t="shared" si="27"/>
        <v>280</v>
      </c>
      <c r="K137" s="127">
        <f t="shared" si="28"/>
        <v>37240</v>
      </c>
      <c r="L137" s="7">
        <f t="shared" si="29"/>
        <v>111.56012478955631</v>
      </c>
      <c r="M137" s="7">
        <f t="shared" si="30"/>
        <v>14837.496597010961</v>
      </c>
      <c r="N137" s="7">
        <f t="shared" si="31"/>
        <v>16.968046272403114</v>
      </c>
      <c r="O137" s="7">
        <f t="shared" si="32"/>
        <v>6257.7919220783406</v>
      </c>
    </row>
    <row r="138" spans="1:15" x14ac:dyDescent="0.2">
      <c r="A138">
        <f t="shared" si="25"/>
        <v>134</v>
      </c>
      <c r="B138" s="7">
        <f t="shared" si="26"/>
        <v>391.56012478955631</v>
      </c>
      <c r="C138" s="7">
        <f t="shared" si="22"/>
        <v>296.37684578167091</v>
      </c>
      <c r="D138" s="7">
        <f t="shared" si="23"/>
        <v>95.183279007885446</v>
      </c>
      <c r="E138" s="7">
        <f>SUM(C$5:C138)</f>
        <v>43794.168767860036</v>
      </c>
      <c r="F138" s="7">
        <f>SUM(D$5:D138)</f>
        <v>8674.8879539405389</v>
      </c>
      <c r="G138" s="7">
        <f>$D$1-'Amort Schedule - Investor'!F138</f>
        <v>47325.112046059461</v>
      </c>
      <c r="H138" s="11">
        <f t="shared" si="24"/>
        <v>0.84509128653677612</v>
      </c>
      <c r="J138" s="127">
        <f t="shared" si="27"/>
        <v>280</v>
      </c>
      <c r="K138" s="127">
        <f t="shared" si="28"/>
        <v>37520</v>
      </c>
      <c r="L138" s="7">
        <f t="shared" si="29"/>
        <v>111.56012478955631</v>
      </c>
      <c r="M138" s="7">
        <f t="shared" si="30"/>
        <v>14949.056721800516</v>
      </c>
      <c r="N138" s="7">
        <f t="shared" si="31"/>
        <v>16.376845781670909</v>
      </c>
      <c r="O138" s="7">
        <f t="shared" si="32"/>
        <v>6274.1687678600119</v>
      </c>
    </row>
    <row r="139" spans="1:15" x14ac:dyDescent="0.2">
      <c r="A139">
        <f t="shared" si="25"/>
        <v>135</v>
      </c>
      <c r="B139" s="7">
        <f t="shared" si="26"/>
        <v>391.56012478955631</v>
      </c>
      <c r="C139" s="7">
        <f t="shared" si="22"/>
        <v>295.78195028787161</v>
      </c>
      <c r="D139" s="7">
        <f t="shared" si="23"/>
        <v>95.778174501684717</v>
      </c>
      <c r="E139" s="7">
        <f>SUM(C$5:C139)</f>
        <v>44089.950718147906</v>
      </c>
      <c r="F139" s="7">
        <f>SUM(D$5:D139)</f>
        <v>8770.6661284422244</v>
      </c>
      <c r="G139" s="7">
        <f>$D$1-'Amort Schedule - Investor'!F139</f>
        <v>47229.333871557777</v>
      </c>
      <c r="H139" s="11">
        <f t="shared" si="24"/>
        <v>0.84338096199210322</v>
      </c>
      <c r="J139" s="127">
        <f t="shared" si="27"/>
        <v>280</v>
      </c>
      <c r="K139" s="127">
        <f t="shared" si="28"/>
        <v>37800</v>
      </c>
      <c r="L139" s="7">
        <f t="shared" si="29"/>
        <v>111.56012478955631</v>
      </c>
      <c r="M139" s="7">
        <f t="shared" si="30"/>
        <v>15060.616846590072</v>
      </c>
      <c r="N139" s="7">
        <f t="shared" si="31"/>
        <v>15.781950287871609</v>
      </c>
      <c r="O139" s="7">
        <f t="shared" si="32"/>
        <v>6289.9507181478839</v>
      </c>
    </row>
    <row r="140" spans="1:15" x14ac:dyDescent="0.2">
      <c r="A140">
        <f t="shared" si="25"/>
        <v>136</v>
      </c>
      <c r="B140" s="7">
        <f t="shared" si="26"/>
        <v>391.56012478955631</v>
      </c>
      <c r="C140" s="7">
        <f t="shared" si="22"/>
        <v>295.18333669723603</v>
      </c>
      <c r="D140" s="7">
        <f t="shared" si="23"/>
        <v>96.376788092320254</v>
      </c>
      <c r="E140" s="7">
        <f>SUM(C$5:C140)</f>
        <v>44385.134054845141</v>
      </c>
      <c r="F140" s="7">
        <f>SUM(D$5:D140)</f>
        <v>8867.0429165345449</v>
      </c>
      <c r="G140" s="7">
        <f>$D$1-'Amort Schedule - Investor'!F140</f>
        <v>47132.957083465459</v>
      </c>
      <c r="H140" s="11">
        <f t="shared" si="24"/>
        <v>0.8416599479190261</v>
      </c>
      <c r="J140" s="127">
        <f t="shared" si="27"/>
        <v>280</v>
      </c>
      <c r="K140" s="127">
        <f t="shared" si="28"/>
        <v>38080</v>
      </c>
      <c r="L140" s="7">
        <f t="shared" si="29"/>
        <v>111.56012478955631</v>
      </c>
      <c r="M140" s="7">
        <f t="shared" si="30"/>
        <v>15172.176971379628</v>
      </c>
      <c r="N140" s="7">
        <f t="shared" si="31"/>
        <v>15.18333669723603</v>
      </c>
      <c r="O140" s="7">
        <f t="shared" si="32"/>
        <v>6305.1340548451199</v>
      </c>
    </row>
    <row r="141" spans="1:15" x14ac:dyDescent="0.2">
      <c r="A141">
        <f t="shared" si="25"/>
        <v>137</v>
      </c>
      <c r="B141" s="7">
        <f t="shared" si="26"/>
        <v>391.56012478955631</v>
      </c>
      <c r="C141" s="7">
        <f t="shared" si="22"/>
        <v>294.58098177165903</v>
      </c>
      <c r="D141" s="7">
        <f t="shared" si="23"/>
        <v>96.979143017897258</v>
      </c>
      <c r="E141" s="7">
        <f>SUM(C$5:C141)</f>
        <v>44679.715036616799</v>
      </c>
      <c r="F141" s="7">
        <f>SUM(D$5:D141)</f>
        <v>8964.0220595524424</v>
      </c>
      <c r="G141" s="7">
        <f>$D$1-'Amort Schedule - Investor'!F141</f>
        <v>47035.977940447556</v>
      </c>
      <c r="H141" s="11">
        <f t="shared" si="24"/>
        <v>0.83992817750799209</v>
      </c>
      <c r="J141" s="127">
        <f t="shared" si="27"/>
        <v>280</v>
      </c>
      <c r="K141" s="127">
        <f t="shared" si="28"/>
        <v>38360</v>
      </c>
      <c r="L141" s="7">
        <f t="shared" si="29"/>
        <v>111.56012478955631</v>
      </c>
      <c r="M141" s="7">
        <f t="shared" si="30"/>
        <v>15283.737096169183</v>
      </c>
      <c r="N141" s="7">
        <f t="shared" si="31"/>
        <v>14.580981771659026</v>
      </c>
      <c r="O141" s="7">
        <f t="shared" si="32"/>
        <v>6319.7150366167789</v>
      </c>
    </row>
    <row r="142" spans="1:15" x14ac:dyDescent="0.2">
      <c r="A142">
        <f t="shared" si="25"/>
        <v>138</v>
      </c>
      <c r="B142" s="7">
        <f t="shared" si="26"/>
        <v>391.56012478955631</v>
      </c>
      <c r="C142" s="7">
        <f t="shared" si="22"/>
        <v>293.97486212779722</v>
      </c>
      <c r="D142" s="7">
        <f t="shared" si="23"/>
        <v>97.585262661759117</v>
      </c>
      <c r="E142" s="7">
        <f>SUM(C$5:C142)</f>
        <v>44973.689898744597</v>
      </c>
      <c r="F142" s="7">
        <f>SUM(D$5:D142)</f>
        <v>9061.6073222142022</v>
      </c>
      <c r="G142" s="7">
        <f>$D$1-'Amort Schedule - Investor'!F142</f>
        <v>46938.3926777858</v>
      </c>
      <c r="H142" s="11">
        <f t="shared" si="24"/>
        <v>0.83818558353188932</v>
      </c>
      <c r="J142" s="127">
        <f t="shared" si="27"/>
        <v>280</v>
      </c>
      <c r="K142" s="127">
        <f t="shared" si="28"/>
        <v>38640</v>
      </c>
      <c r="L142" s="7">
        <f t="shared" si="29"/>
        <v>111.56012478955631</v>
      </c>
      <c r="M142" s="7">
        <f t="shared" si="30"/>
        <v>15395.297220958739</v>
      </c>
      <c r="N142" s="7">
        <f t="shared" si="31"/>
        <v>13.974862127797223</v>
      </c>
      <c r="O142" s="7">
        <f t="shared" si="32"/>
        <v>6333.6898987445766</v>
      </c>
    </row>
    <row r="143" spans="1:15" x14ac:dyDescent="0.2">
      <c r="A143">
        <f t="shared" si="25"/>
        <v>139</v>
      </c>
      <c r="B143" s="7">
        <f t="shared" si="26"/>
        <v>391.56012478955631</v>
      </c>
      <c r="C143" s="7">
        <f t="shared" si="22"/>
        <v>293.36495423616128</v>
      </c>
      <c r="D143" s="7">
        <f t="shared" si="23"/>
        <v>98.195170553395101</v>
      </c>
      <c r="E143" s="7">
        <f>SUM(C$5:C143)</f>
        <v>45267.054852980757</v>
      </c>
      <c r="F143" s="7">
        <f>SUM(D$5:D143)</f>
        <v>9159.8024927675979</v>
      </c>
      <c r="G143" s="7">
        <f>$D$1-'Amort Schedule - Investor'!F143</f>
        <v>46840.197507232398</v>
      </c>
      <c r="H143" s="11">
        <f t="shared" si="24"/>
        <v>0.83643209834343568</v>
      </c>
      <c r="J143" s="127">
        <f t="shared" si="27"/>
        <v>280</v>
      </c>
      <c r="K143" s="127">
        <f t="shared" si="28"/>
        <v>38920</v>
      </c>
      <c r="L143" s="7">
        <f t="shared" si="29"/>
        <v>111.56012478955631</v>
      </c>
      <c r="M143" s="7">
        <f t="shared" si="30"/>
        <v>15506.857345748294</v>
      </c>
      <c r="N143" s="7">
        <f t="shared" si="31"/>
        <v>13.364954236161282</v>
      </c>
      <c r="O143" s="7">
        <f t="shared" si="32"/>
        <v>6347.0548529807375</v>
      </c>
    </row>
    <row r="144" spans="1:15" x14ac:dyDescent="0.2">
      <c r="A144">
        <f t="shared" si="25"/>
        <v>140</v>
      </c>
      <c r="B144" s="7">
        <f t="shared" si="26"/>
        <v>391.56012478955631</v>
      </c>
      <c r="C144" s="7">
        <f t="shared" si="22"/>
        <v>292.75123442020254</v>
      </c>
      <c r="D144" s="7">
        <f t="shared" si="23"/>
        <v>98.808890369353804</v>
      </c>
      <c r="E144" s="7">
        <f>SUM(C$5:C144)</f>
        <v>45559.806087400961</v>
      </c>
      <c r="F144" s="7">
        <f>SUM(D$5:D144)</f>
        <v>9258.6113831369512</v>
      </c>
      <c r="G144" s="7">
        <f>$D$1-'Amort Schedule - Investor'!F144</f>
        <v>46741.388616863049</v>
      </c>
      <c r="H144" s="11">
        <f t="shared" si="24"/>
        <v>0.83466765387255448</v>
      </c>
      <c r="J144" s="127">
        <f t="shared" si="27"/>
        <v>280</v>
      </c>
      <c r="K144" s="127">
        <f t="shared" si="28"/>
        <v>39200</v>
      </c>
      <c r="L144" s="7">
        <f t="shared" si="29"/>
        <v>111.56012478955631</v>
      </c>
      <c r="M144" s="7">
        <f t="shared" si="30"/>
        <v>15618.41747053785</v>
      </c>
      <c r="N144" s="7">
        <f t="shared" si="31"/>
        <v>12.751234420202536</v>
      </c>
      <c r="O144" s="7">
        <f t="shared" si="32"/>
        <v>6359.8060874009398</v>
      </c>
    </row>
    <row r="145" spans="1:15" x14ac:dyDescent="0.2">
      <c r="A145">
        <f t="shared" si="25"/>
        <v>141</v>
      </c>
      <c r="B145" s="7">
        <f t="shared" si="26"/>
        <v>391.56012478955631</v>
      </c>
      <c r="C145" s="7">
        <f t="shared" si="22"/>
        <v>292.13367885539407</v>
      </c>
      <c r="D145" s="7">
        <f t="shared" si="23"/>
        <v>99.426445934162274</v>
      </c>
      <c r="E145" s="7">
        <f>SUM(C$5:C145)</f>
        <v>45851.939766256357</v>
      </c>
      <c r="F145" s="7">
        <f>SUM(D$5:D145)</f>
        <v>9358.0378290711142</v>
      </c>
      <c r="G145" s="7">
        <f>$D$1-'Amort Schedule - Investor'!F145</f>
        <v>46641.962170928884</v>
      </c>
      <c r="H145" s="11">
        <f t="shared" si="24"/>
        <v>0.83289218162373002</v>
      </c>
      <c r="J145" s="127">
        <f t="shared" si="27"/>
        <v>280</v>
      </c>
      <c r="K145" s="127">
        <f t="shared" si="28"/>
        <v>39480</v>
      </c>
      <c r="L145" s="7">
        <f t="shared" si="29"/>
        <v>111.56012478955631</v>
      </c>
      <c r="M145" s="7">
        <f t="shared" si="30"/>
        <v>15729.977595327406</v>
      </c>
      <c r="N145" s="7">
        <f t="shared" si="31"/>
        <v>12.133678855394066</v>
      </c>
      <c r="O145" s="7">
        <f t="shared" si="32"/>
        <v>6371.9397662563342</v>
      </c>
    </row>
    <row r="146" spans="1:15" x14ac:dyDescent="0.2">
      <c r="A146">
        <f t="shared" si="25"/>
        <v>142</v>
      </c>
      <c r="B146" s="7">
        <f t="shared" si="26"/>
        <v>391.56012478955631</v>
      </c>
      <c r="C146" s="7">
        <f t="shared" si="22"/>
        <v>291.51226356830557</v>
      </c>
      <c r="D146" s="7">
        <f t="shared" si="23"/>
        <v>100.04786122125077</v>
      </c>
      <c r="E146" s="7">
        <f>SUM(C$5:C146)</f>
        <v>46143.452029824664</v>
      </c>
      <c r="F146" s="7">
        <f>SUM(D$5:D146)</f>
        <v>9458.0856902923642</v>
      </c>
      <c r="G146" s="7">
        <f>$D$1-'Amort Schedule - Investor'!F146</f>
        <v>46541.914309707638</v>
      </c>
      <c r="H146" s="11">
        <f t="shared" si="24"/>
        <v>0.8311056126733507</v>
      </c>
      <c r="J146" s="127">
        <f t="shared" si="27"/>
        <v>280</v>
      </c>
      <c r="K146" s="127">
        <f t="shared" si="28"/>
        <v>39760</v>
      </c>
      <c r="L146" s="7">
        <f t="shared" si="29"/>
        <v>111.56012478955631</v>
      </c>
      <c r="M146" s="7">
        <f t="shared" si="30"/>
        <v>15841.537720116961</v>
      </c>
      <c r="N146" s="7">
        <f t="shared" si="31"/>
        <v>11.512263568305571</v>
      </c>
      <c r="O146" s="7">
        <f t="shared" si="32"/>
        <v>6383.4520298246398</v>
      </c>
    </row>
    <row r="147" spans="1:15" x14ac:dyDescent="0.2">
      <c r="A147">
        <f t="shared" si="25"/>
        <v>143</v>
      </c>
      <c r="B147" s="7">
        <f t="shared" si="26"/>
        <v>391.56012478955631</v>
      </c>
      <c r="C147" s="7">
        <f t="shared" si="22"/>
        <v>290.88696443567272</v>
      </c>
      <c r="D147" s="7">
        <f t="shared" si="23"/>
        <v>100.67316035388359</v>
      </c>
      <c r="E147" s="7">
        <f>SUM(C$5:C147)</f>
        <v>46434.338994260339</v>
      </c>
      <c r="F147" s="7">
        <f>SUM(D$5:D147)</f>
        <v>9558.7588506462471</v>
      </c>
      <c r="G147" s="7">
        <f>$D$1-'Amort Schedule - Investor'!F147</f>
        <v>46441.241149353751</v>
      </c>
      <c r="H147" s="11">
        <f t="shared" si="24"/>
        <v>0.82930787766703129</v>
      </c>
      <c r="J147" s="127">
        <f t="shared" si="27"/>
        <v>280</v>
      </c>
      <c r="K147" s="127">
        <f t="shared" si="28"/>
        <v>40040</v>
      </c>
      <c r="L147" s="7">
        <f t="shared" si="29"/>
        <v>111.56012478955631</v>
      </c>
      <c r="M147" s="7">
        <f t="shared" si="30"/>
        <v>15953.097844906517</v>
      </c>
      <c r="N147" s="7">
        <f t="shared" si="31"/>
        <v>10.886964435672724</v>
      </c>
      <c r="O147" s="7">
        <f t="shared" si="32"/>
        <v>6394.3389942603126</v>
      </c>
    </row>
    <row r="148" spans="1:15" s="6" customFormat="1" x14ac:dyDescent="0.2">
      <c r="A148" s="6">
        <f t="shared" si="25"/>
        <v>144</v>
      </c>
      <c r="B148" s="128">
        <f t="shared" si="26"/>
        <v>391.56012478955631</v>
      </c>
      <c r="C148" s="128">
        <f t="shared" si="22"/>
        <v>290.25775718346097</v>
      </c>
      <c r="D148" s="128">
        <f t="shared" si="23"/>
        <v>101.30236760609536</v>
      </c>
      <c r="E148" s="128">
        <f>SUM(C$5:C148)</f>
        <v>46724.596751443802</v>
      </c>
      <c r="F148" s="128">
        <f>SUM(D$5:D148)</f>
        <v>9660.0612182523419</v>
      </c>
      <c r="G148" s="128">
        <f>$D$1-'Amort Schedule - Investor'!F148</f>
        <v>46339.93878174766</v>
      </c>
      <c r="H148" s="124">
        <f t="shared" si="24"/>
        <v>0.82749890681692251</v>
      </c>
      <c r="J148" s="127">
        <f t="shared" si="27"/>
        <v>280</v>
      </c>
      <c r="K148" s="127">
        <f t="shared" si="28"/>
        <v>40320</v>
      </c>
      <c r="L148" s="7">
        <f t="shared" si="29"/>
        <v>111.56012478955631</v>
      </c>
      <c r="M148" s="7">
        <f t="shared" si="30"/>
        <v>16064.657969696073</v>
      </c>
      <c r="N148" s="7">
        <f t="shared" si="31"/>
        <v>10.257757183460967</v>
      </c>
      <c r="O148" s="7">
        <f t="shared" si="32"/>
        <v>6404.5967514437734</v>
      </c>
    </row>
    <row r="149" spans="1:15" x14ac:dyDescent="0.2">
      <c r="A149">
        <f t="shared" si="25"/>
        <v>145</v>
      </c>
      <c r="B149" s="7">
        <f t="shared" si="26"/>
        <v>391.56012478955631</v>
      </c>
      <c r="C149" s="7">
        <f t="shared" si="22"/>
        <v>289.62461738592287</v>
      </c>
      <c r="D149" s="7">
        <f t="shared" si="23"/>
        <v>101.93550740363347</v>
      </c>
      <c r="E149" s="7">
        <f>SUM(C$5:C149)</f>
        <v>47014.221368829727</v>
      </c>
      <c r="F149" s="7">
        <f>SUM(D$5:D149)</f>
        <v>9761.9967256559758</v>
      </c>
      <c r="G149" s="7">
        <f>$D$1-'Amort Schedule - Investor'!F149</f>
        <v>46238.003274344024</v>
      </c>
      <c r="H149" s="11">
        <f t="shared" si="24"/>
        <v>0.82567862989900043</v>
      </c>
      <c r="J149" s="127">
        <f t="shared" si="27"/>
        <v>280</v>
      </c>
      <c r="K149" s="127">
        <f t="shared" si="28"/>
        <v>40600</v>
      </c>
      <c r="L149" s="7">
        <f t="shared" si="29"/>
        <v>111.56012478955631</v>
      </c>
      <c r="M149" s="7">
        <f t="shared" si="30"/>
        <v>16176.218094485628</v>
      </c>
      <c r="N149" s="7">
        <f t="shared" si="31"/>
        <v>9.6246173859228747</v>
      </c>
      <c r="O149" s="7">
        <f t="shared" si="32"/>
        <v>6414.2213688296961</v>
      </c>
    </row>
    <row r="150" spans="1:15" x14ac:dyDescent="0.2">
      <c r="A150">
        <f t="shared" si="25"/>
        <v>146</v>
      </c>
      <c r="B150" s="7">
        <f t="shared" si="26"/>
        <v>391.56012478955631</v>
      </c>
      <c r="C150" s="7">
        <f t="shared" si="22"/>
        <v>288.98752046465017</v>
      </c>
      <c r="D150" s="7">
        <f t="shared" si="23"/>
        <v>102.57260432490618</v>
      </c>
      <c r="E150" s="7">
        <f>SUM(C$5:C150)</f>
        <v>47303.208889294379</v>
      </c>
      <c r="F150" s="7">
        <f>SUM(D$5:D150)</f>
        <v>9864.5693299808827</v>
      </c>
      <c r="G150" s="7">
        <f>$D$1-'Amort Schedule - Investor'!F150</f>
        <v>46135.430670019115</v>
      </c>
      <c r="H150" s="11">
        <f t="shared" si="24"/>
        <v>0.82384697625034131</v>
      </c>
      <c r="J150" s="127">
        <f t="shared" si="27"/>
        <v>280</v>
      </c>
      <c r="K150" s="127">
        <f t="shared" si="28"/>
        <v>40880</v>
      </c>
      <c r="L150" s="7">
        <f t="shared" si="29"/>
        <v>111.56012478955631</v>
      </c>
      <c r="M150" s="7">
        <f t="shared" si="30"/>
        <v>16287.778219275184</v>
      </c>
      <c r="N150" s="7">
        <f t="shared" si="31"/>
        <v>8.9875204646501743</v>
      </c>
      <c r="O150" s="7">
        <f t="shared" si="32"/>
        <v>6423.2088892943466</v>
      </c>
    </row>
    <row r="151" spans="1:15" x14ac:dyDescent="0.2">
      <c r="A151">
        <f t="shared" si="25"/>
        <v>147</v>
      </c>
      <c r="B151" s="7">
        <f t="shared" si="26"/>
        <v>391.56012478955631</v>
      </c>
      <c r="C151" s="7">
        <f t="shared" si="22"/>
        <v>288.34644168761952</v>
      </c>
      <c r="D151" s="7">
        <f t="shared" si="23"/>
        <v>103.21368310193685</v>
      </c>
      <c r="E151" s="7">
        <f>SUM(C$5:C151)</f>
        <v>47591.555330981995</v>
      </c>
      <c r="F151" s="7">
        <f>SUM(D$5:D151)</f>
        <v>9967.7830130828188</v>
      </c>
      <c r="G151" s="7">
        <f>$D$1-'Amort Schedule - Investor'!F151</f>
        <v>46032.216986917178</v>
      </c>
      <c r="H151" s="11">
        <f t="shared" si="24"/>
        <v>0.82200387476637815</v>
      </c>
      <c r="J151" s="127">
        <f t="shared" si="27"/>
        <v>280</v>
      </c>
      <c r="K151" s="127">
        <f t="shared" si="28"/>
        <v>41160</v>
      </c>
      <c r="L151" s="7">
        <f t="shared" si="29"/>
        <v>111.56012478955631</v>
      </c>
      <c r="M151" s="7">
        <f t="shared" si="30"/>
        <v>16399.338344064741</v>
      </c>
      <c r="N151" s="7">
        <f t="shared" si="31"/>
        <v>8.3464416876195173</v>
      </c>
      <c r="O151" s="7">
        <f t="shared" si="32"/>
        <v>6431.5553309819661</v>
      </c>
    </row>
    <row r="152" spans="1:15" x14ac:dyDescent="0.2">
      <c r="A152">
        <f t="shared" si="25"/>
        <v>148</v>
      </c>
      <c r="B152" s="7">
        <f t="shared" si="26"/>
        <v>391.56012478955631</v>
      </c>
      <c r="C152" s="7">
        <f t="shared" si="22"/>
        <v>287.70135616823239</v>
      </c>
      <c r="D152" s="7">
        <f t="shared" si="23"/>
        <v>103.85876862132395</v>
      </c>
      <c r="E152" s="7">
        <f>SUM(C$5:C152)</f>
        <v>47879.256687150228</v>
      </c>
      <c r="F152" s="7">
        <f>SUM(D$5:D152)</f>
        <v>10071.641781704142</v>
      </c>
      <c r="G152" s="7">
        <f>$D$1-'Amort Schedule - Investor'!F152</f>
        <v>45928.358218295856</v>
      </c>
      <c r="H152" s="11">
        <f t="shared" si="24"/>
        <v>0.82014925389814031</v>
      </c>
      <c r="J152" s="127">
        <f t="shared" si="27"/>
        <v>280</v>
      </c>
      <c r="K152" s="127">
        <f t="shared" si="28"/>
        <v>41440</v>
      </c>
      <c r="L152" s="7">
        <f t="shared" si="29"/>
        <v>111.56012478955631</v>
      </c>
      <c r="M152" s="7">
        <f t="shared" si="30"/>
        <v>16510.898468854299</v>
      </c>
      <c r="N152" s="7">
        <f t="shared" si="31"/>
        <v>7.7013561682323939</v>
      </c>
      <c r="O152" s="7">
        <f t="shared" si="32"/>
        <v>6439.2566871501986</v>
      </c>
    </row>
    <row r="153" spans="1:15" x14ac:dyDescent="0.2">
      <c r="A153">
        <f t="shared" si="25"/>
        <v>149</v>
      </c>
      <c r="B153" s="7">
        <f t="shared" si="26"/>
        <v>391.56012478955631</v>
      </c>
      <c r="C153" s="7">
        <f t="shared" si="22"/>
        <v>287.05223886434908</v>
      </c>
      <c r="D153" s="7">
        <f t="shared" si="23"/>
        <v>104.50788592520722</v>
      </c>
      <c r="E153" s="7">
        <f>SUM(C$5:C153)</f>
        <v>48166.308926014579</v>
      </c>
      <c r="F153" s="7">
        <f>SUM(D$5:D153)</f>
        <v>10176.14966762935</v>
      </c>
      <c r="G153" s="7">
        <f>$D$1-'Amort Schedule - Investor'!F153</f>
        <v>45823.850332370654</v>
      </c>
      <c r="H153" s="11">
        <f t="shared" si="24"/>
        <v>0.81828304164947596</v>
      </c>
      <c r="J153" s="127">
        <f t="shared" si="27"/>
        <v>280</v>
      </c>
      <c r="K153" s="127">
        <f t="shared" si="28"/>
        <v>41720</v>
      </c>
      <c r="L153" s="7">
        <f t="shared" si="29"/>
        <v>111.56012478955631</v>
      </c>
      <c r="M153" s="7">
        <f t="shared" si="30"/>
        <v>16622.458593643856</v>
      </c>
      <c r="N153" s="7">
        <f t="shared" si="31"/>
        <v>7.0522388643490785</v>
      </c>
      <c r="O153" s="7">
        <f t="shared" si="32"/>
        <v>6446.308926014548</v>
      </c>
    </row>
    <row r="154" spans="1:15" x14ac:dyDescent="0.2">
      <c r="A154">
        <f t="shared" si="25"/>
        <v>150</v>
      </c>
      <c r="B154" s="7">
        <f t="shared" si="26"/>
        <v>391.56012478955631</v>
      </c>
      <c r="C154" s="7">
        <f t="shared" si="22"/>
        <v>286.39906457731655</v>
      </c>
      <c r="D154" s="7">
        <f t="shared" si="23"/>
        <v>105.16106021223976</v>
      </c>
      <c r="E154" s="7">
        <f>SUM(C$5:C154)</f>
        <v>48452.707990591894</v>
      </c>
      <c r="F154" s="7">
        <f>SUM(D$5:D154)</f>
        <v>10281.31072784159</v>
      </c>
      <c r="G154" s="7">
        <f>$D$1-'Amort Schedule - Investor'!F154</f>
        <v>45718.689272158408</v>
      </c>
      <c r="H154" s="11">
        <f t="shared" si="24"/>
        <v>0.81640516557425724</v>
      </c>
      <c r="J154" s="127">
        <f t="shared" si="27"/>
        <v>280</v>
      </c>
      <c r="K154" s="127">
        <f t="shared" si="28"/>
        <v>42000</v>
      </c>
      <c r="L154" s="7">
        <f t="shared" si="29"/>
        <v>111.56012478955631</v>
      </c>
      <c r="M154" s="7">
        <f t="shared" si="30"/>
        <v>16734.018718433414</v>
      </c>
      <c r="N154" s="7">
        <f t="shared" si="31"/>
        <v>6.3990645773165511</v>
      </c>
      <c r="O154" s="7">
        <f t="shared" si="32"/>
        <v>6452.7079905918645</v>
      </c>
    </row>
    <row r="155" spans="1:15" x14ac:dyDescent="0.2">
      <c r="A155">
        <f t="shared" si="25"/>
        <v>151</v>
      </c>
      <c r="B155" s="7">
        <f t="shared" si="26"/>
        <v>391.56012478955631</v>
      </c>
      <c r="C155" s="7">
        <f t="shared" si="22"/>
        <v>285.74180795099005</v>
      </c>
      <c r="D155" s="7">
        <f t="shared" si="23"/>
        <v>105.81831683856628</v>
      </c>
      <c r="E155" s="7">
        <f>SUM(C$5:C155)</f>
        <v>48738.449798542882</v>
      </c>
      <c r="F155" s="7">
        <f>SUM(D$5:D155)</f>
        <v>10387.129044680156</v>
      </c>
      <c r="G155" s="7">
        <f>$D$1-'Amort Schedule - Investor'!F155</f>
        <v>45612.870955319842</v>
      </c>
      <c r="H155" s="11">
        <f t="shared" si="24"/>
        <v>0.81451555277356857</v>
      </c>
      <c r="J155" s="127">
        <f t="shared" si="27"/>
        <v>280</v>
      </c>
      <c r="K155" s="127">
        <f t="shared" si="28"/>
        <v>42280</v>
      </c>
      <c r="L155" s="7">
        <f t="shared" si="29"/>
        <v>111.56012478955631</v>
      </c>
      <c r="M155" s="7">
        <f t="shared" si="30"/>
        <v>16845.578843222971</v>
      </c>
      <c r="N155" s="7">
        <f t="shared" si="31"/>
        <v>5.7418079509900508</v>
      </c>
      <c r="O155" s="7">
        <f t="shared" si="32"/>
        <v>6458.4497985428543</v>
      </c>
    </row>
    <row r="156" spans="1:15" x14ac:dyDescent="0.2">
      <c r="A156">
        <f t="shared" si="25"/>
        <v>152</v>
      </c>
      <c r="B156" s="7">
        <f t="shared" si="26"/>
        <v>391.56012478955631</v>
      </c>
      <c r="C156" s="7">
        <f t="shared" si="22"/>
        <v>285.080443470749</v>
      </c>
      <c r="D156" s="7">
        <f t="shared" si="23"/>
        <v>106.47968131880731</v>
      </c>
      <c r="E156" s="7">
        <f>SUM(C$5:C156)</f>
        <v>49023.530242013629</v>
      </c>
      <c r="F156" s="7">
        <f>SUM(D$5:D156)</f>
        <v>10493.608725998964</v>
      </c>
      <c r="G156" s="7">
        <f>$D$1-'Amort Schedule - Investor'!F156</f>
        <v>45506.391274001035</v>
      </c>
      <c r="H156" s="11">
        <f t="shared" si="24"/>
        <v>0.81261412989287563</v>
      </c>
      <c r="J156" s="127">
        <f t="shared" si="27"/>
        <v>280</v>
      </c>
      <c r="K156" s="127">
        <f t="shared" si="28"/>
        <v>42560</v>
      </c>
      <c r="L156" s="7">
        <f t="shared" si="29"/>
        <v>111.56012478955631</v>
      </c>
      <c r="M156" s="7">
        <f t="shared" si="30"/>
        <v>16957.138968012528</v>
      </c>
      <c r="N156" s="7">
        <f t="shared" si="31"/>
        <v>5.0804434707490032</v>
      </c>
      <c r="O156" s="7">
        <f t="shared" si="32"/>
        <v>6463.5302420136031</v>
      </c>
    </row>
    <row r="157" spans="1:15" x14ac:dyDescent="0.2">
      <c r="A157">
        <f t="shared" si="25"/>
        <v>153</v>
      </c>
      <c r="B157" s="7">
        <f t="shared" si="26"/>
        <v>391.56012478955631</v>
      </c>
      <c r="C157" s="7">
        <f t="shared" si="22"/>
        <v>284.41494546250647</v>
      </c>
      <c r="D157" s="7">
        <f t="shared" si="23"/>
        <v>107.14517932704986</v>
      </c>
      <c r="E157" s="7">
        <f>SUM(C$5:C157)</f>
        <v>49307.945187476136</v>
      </c>
      <c r="F157" s="7">
        <f>SUM(D$5:D157)</f>
        <v>10600.753905326013</v>
      </c>
      <c r="G157" s="7">
        <f>$D$1-'Amort Schedule - Investor'!F157</f>
        <v>45399.246094673988</v>
      </c>
      <c r="H157" s="11">
        <f t="shared" si="24"/>
        <v>0.81070082311917835</v>
      </c>
      <c r="J157" s="127">
        <f t="shared" si="27"/>
        <v>280</v>
      </c>
      <c r="K157" s="127">
        <f t="shared" si="28"/>
        <v>42840</v>
      </c>
      <c r="L157" s="7">
        <f t="shared" si="29"/>
        <v>111.56012478955631</v>
      </c>
      <c r="M157" s="7">
        <f t="shared" si="30"/>
        <v>17068.699092802086</v>
      </c>
      <c r="N157" s="7">
        <f t="shared" si="31"/>
        <v>4.4149454625064664</v>
      </c>
      <c r="O157" s="7">
        <f t="shared" si="32"/>
        <v>6467.9451874761098</v>
      </c>
    </row>
    <row r="158" spans="1:15" x14ac:dyDescent="0.2">
      <c r="A158">
        <f t="shared" si="25"/>
        <v>154</v>
      </c>
      <c r="B158" s="7">
        <f t="shared" si="26"/>
        <v>391.56012478955631</v>
      </c>
      <c r="C158" s="7">
        <f t="shared" si="22"/>
        <v>283.74528809171244</v>
      </c>
      <c r="D158" s="7">
        <f t="shared" si="23"/>
        <v>107.81483669784392</v>
      </c>
      <c r="E158" s="7">
        <f>SUM(C$5:C158)</f>
        <v>49591.690475567848</v>
      </c>
      <c r="F158" s="7">
        <f>SUM(D$5:D158)</f>
        <v>10708.568742023857</v>
      </c>
      <c r="G158" s="7">
        <f>$D$1-'Amort Schedule - Investor'!F158</f>
        <v>45291.431257976146</v>
      </c>
      <c r="H158" s="11">
        <f t="shared" si="24"/>
        <v>0.8087755581781455</v>
      </c>
      <c r="J158" s="127">
        <f t="shared" si="27"/>
        <v>280</v>
      </c>
      <c r="K158" s="127">
        <f t="shared" si="28"/>
        <v>43120</v>
      </c>
      <c r="L158" s="7">
        <f t="shared" si="29"/>
        <v>111.56012478955631</v>
      </c>
      <c r="M158" s="7">
        <f t="shared" si="30"/>
        <v>17180.259217591643</v>
      </c>
      <c r="N158" s="7">
        <f t="shared" si="31"/>
        <v>3.7452880917124389</v>
      </c>
      <c r="O158" s="7">
        <f t="shared" si="32"/>
        <v>6471.6904755678224</v>
      </c>
    </row>
    <row r="159" spans="1:15" x14ac:dyDescent="0.2">
      <c r="A159">
        <f t="shared" si="25"/>
        <v>155</v>
      </c>
      <c r="B159" s="7">
        <f t="shared" si="26"/>
        <v>391.56012478955631</v>
      </c>
      <c r="C159" s="7">
        <f t="shared" si="22"/>
        <v>283.07144536235091</v>
      </c>
      <c r="D159" s="7">
        <f t="shared" si="23"/>
        <v>108.48867942720544</v>
      </c>
      <c r="E159" s="7">
        <f>SUM(C$5:C159)</f>
        <v>49874.761920930199</v>
      </c>
      <c r="F159" s="7">
        <f>SUM(D$5:D159)</f>
        <v>10817.057421451063</v>
      </c>
      <c r="G159" s="7">
        <f>$D$1-'Amort Schedule - Investor'!F159</f>
        <v>45182.942578548937</v>
      </c>
      <c r="H159" s="11">
        <f t="shared" si="24"/>
        <v>0.80683826033123096</v>
      </c>
      <c r="J159" s="127">
        <f t="shared" si="27"/>
        <v>280</v>
      </c>
      <c r="K159" s="127">
        <f t="shared" si="28"/>
        <v>43400</v>
      </c>
      <c r="L159" s="7">
        <f t="shared" si="29"/>
        <v>111.56012478955631</v>
      </c>
      <c r="M159" s="7">
        <f t="shared" si="30"/>
        <v>17291.819342381201</v>
      </c>
      <c r="N159" s="7">
        <f t="shared" si="31"/>
        <v>3.0714453623509144</v>
      </c>
      <c r="O159" s="7">
        <f t="shared" si="32"/>
        <v>6474.7619209301738</v>
      </c>
    </row>
    <row r="160" spans="1:15" s="6" customFormat="1" x14ac:dyDescent="0.2">
      <c r="A160" s="6">
        <f t="shared" si="25"/>
        <v>156</v>
      </c>
      <c r="B160" s="128">
        <f t="shared" si="26"/>
        <v>391.56012478955631</v>
      </c>
      <c r="C160" s="128">
        <f t="shared" si="22"/>
        <v>282.39339111593085</v>
      </c>
      <c r="D160" s="128">
        <f t="shared" si="23"/>
        <v>109.16673367362547</v>
      </c>
      <c r="E160" s="128">
        <f>SUM(C$5:C160)</f>
        <v>50157.155312046132</v>
      </c>
      <c r="F160" s="128">
        <f>SUM(D$5:D160)</f>
        <v>10926.22415512469</v>
      </c>
      <c r="G160" s="128">
        <f>$D$1-'Amort Schedule - Investor'!F160</f>
        <v>45073.775844875308</v>
      </c>
      <c r="H160" s="124">
        <f t="shared" si="24"/>
        <v>0.80488885437277335</v>
      </c>
      <c r="J160" s="127">
        <f t="shared" si="27"/>
        <v>280</v>
      </c>
      <c r="K160" s="127">
        <f t="shared" si="28"/>
        <v>43680</v>
      </c>
      <c r="L160" s="7">
        <f t="shared" si="29"/>
        <v>111.56012478955631</v>
      </c>
      <c r="M160" s="7">
        <f t="shared" si="30"/>
        <v>17403.379467170758</v>
      </c>
      <c r="N160" s="7">
        <f t="shared" si="31"/>
        <v>2.3933911159308536</v>
      </c>
      <c r="O160" s="7">
        <f t="shared" si="32"/>
        <v>6477.1553120461049</v>
      </c>
    </row>
    <row r="161" spans="1:15" x14ac:dyDescent="0.2">
      <c r="A161">
        <f t="shared" si="25"/>
        <v>157</v>
      </c>
      <c r="B161" s="7">
        <f t="shared" si="26"/>
        <v>391.56012478955631</v>
      </c>
      <c r="C161" s="7">
        <f t="shared" si="22"/>
        <v>281.71109903047068</v>
      </c>
      <c r="D161" s="7">
        <f t="shared" si="23"/>
        <v>109.84902575908565</v>
      </c>
      <c r="E161" s="7">
        <f>SUM(C$5:C161)</f>
        <v>50438.866411076604</v>
      </c>
      <c r="F161" s="7">
        <f>SUM(D$5:D161)</f>
        <v>11036.073180883775</v>
      </c>
      <c r="G161" s="7">
        <f>$D$1-'Amort Schedule - Investor'!F161</f>
        <v>44963.926819116226</v>
      </c>
      <c r="H161" s="11">
        <f t="shared" si="24"/>
        <v>0.80292726462707542</v>
      </c>
      <c r="J161" s="127">
        <f t="shared" si="27"/>
        <v>280</v>
      </c>
      <c r="K161" s="127">
        <f t="shared" si="28"/>
        <v>43960</v>
      </c>
      <c r="L161" s="7">
        <f t="shared" si="29"/>
        <v>111.56012478955631</v>
      </c>
      <c r="M161" s="7">
        <f t="shared" si="30"/>
        <v>17514.939591960316</v>
      </c>
      <c r="N161" s="7">
        <f t="shared" si="31"/>
        <v>1.7110990304706775</v>
      </c>
      <c r="O161" s="7">
        <f t="shared" si="32"/>
        <v>6478.8664110765758</v>
      </c>
    </row>
    <row r="162" spans="1:15" x14ac:dyDescent="0.2">
      <c r="A162">
        <f t="shared" si="25"/>
        <v>158</v>
      </c>
      <c r="B162" s="7">
        <f t="shared" si="26"/>
        <v>391.56012478955631</v>
      </c>
      <c r="C162" s="7">
        <f t="shared" si="22"/>
        <v>281.02454261947639</v>
      </c>
      <c r="D162" s="7">
        <f t="shared" si="23"/>
        <v>110.53558217007991</v>
      </c>
      <c r="E162" s="7">
        <f>SUM(C$5:C162)</f>
        <v>50719.890953696078</v>
      </c>
      <c r="F162" s="7">
        <f>SUM(D$5:D162)</f>
        <v>11146.608763053855</v>
      </c>
      <c r="G162" s="7">
        <f>$D$1-'Amort Schedule - Investor'!F162</f>
        <v>44853.391236946147</v>
      </c>
      <c r="H162" s="11">
        <f t="shared" si="24"/>
        <v>0.8009534149454669</v>
      </c>
      <c r="J162" s="127">
        <f t="shared" si="27"/>
        <v>280</v>
      </c>
      <c r="K162" s="127">
        <f t="shared" si="28"/>
        <v>44240</v>
      </c>
      <c r="L162" s="7">
        <f t="shared" si="29"/>
        <v>111.56012478955631</v>
      </c>
      <c r="M162" s="7">
        <f t="shared" si="30"/>
        <v>17626.499716749873</v>
      </c>
      <c r="N162" s="7">
        <f t="shared" si="31"/>
        <v>1.0245426194763922</v>
      </c>
      <c r="O162" s="7">
        <f t="shared" si="32"/>
        <v>6479.8909536960518</v>
      </c>
    </row>
    <row r="163" spans="1:15" x14ac:dyDescent="0.2">
      <c r="A163">
        <f t="shared" si="25"/>
        <v>159</v>
      </c>
      <c r="B163" s="7">
        <f t="shared" si="26"/>
        <v>391.56012478955631</v>
      </c>
      <c r="C163" s="7">
        <f t="shared" si="22"/>
        <v>280.33369523091341</v>
      </c>
      <c r="D163" s="7">
        <f t="shared" si="23"/>
        <v>111.22642955864293</v>
      </c>
      <c r="E163" s="7">
        <f>SUM(C$5:C163)</f>
        <v>51000.224648926989</v>
      </c>
      <c r="F163" s="7">
        <f>SUM(D$5:D163)</f>
        <v>11257.835192612498</v>
      </c>
      <c r="G163" s="7">
        <f>$D$1-'Amort Schedule - Investor'!F163</f>
        <v>44742.164807387504</v>
      </c>
      <c r="H163" s="11">
        <f t="shared" si="24"/>
        <v>0.79896722870334824</v>
      </c>
      <c r="J163" s="127">
        <f t="shared" si="27"/>
        <v>280</v>
      </c>
      <c r="K163" s="127">
        <f t="shared" si="28"/>
        <v>44520</v>
      </c>
      <c r="L163" s="7">
        <f t="shared" si="29"/>
        <v>111.56012478955631</v>
      </c>
      <c r="M163" s="7">
        <f t="shared" si="30"/>
        <v>17738.059841539431</v>
      </c>
      <c r="N163" s="7">
        <f t="shared" si="31"/>
        <v>0.33369523091340625</v>
      </c>
      <c r="O163" s="7">
        <f t="shared" si="32"/>
        <v>6480.2246489269655</v>
      </c>
    </row>
    <row r="164" spans="1:15" x14ac:dyDescent="0.2">
      <c r="A164">
        <f t="shared" si="25"/>
        <v>160</v>
      </c>
      <c r="B164" s="7">
        <f t="shared" si="26"/>
        <v>391.56012478955631</v>
      </c>
      <c r="C164" s="7">
        <f t="shared" si="22"/>
        <v>279.63853004617187</v>
      </c>
      <c r="D164" s="7">
        <f t="shared" si="23"/>
        <v>111.92159474338445</v>
      </c>
      <c r="E164" s="7">
        <f>SUM(C$5:C164)</f>
        <v>51279.863178973159</v>
      </c>
      <c r="F164" s="7">
        <f>SUM(D$5:D164)</f>
        <v>11369.756787355882</v>
      </c>
      <c r="G164" s="7">
        <f>$D$1-'Amort Schedule - Investor'!F164</f>
        <v>44630.24321264412</v>
      </c>
      <c r="H164" s="11">
        <f t="shared" si="24"/>
        <v>0.79696862879721642</v>
      </c>
      <c r="J164" s="127">
        <f t="shared" si="27"/>
        <v>280</v>
      </c>
      <c r="K164" s="127">
        <f t="shared" si="28"/>
        <v>44800</v>
      </c>
      <c r="L164" s="7">
        <f t="shared" si="29"/>
        <v>111.56012478955631</v>
      </c>
      <c r="M164" s="7">
        <f t="shared" si="30"/>
        <v>17849.619966328988</v>
      </c>
      <c r="N164" s="7">
        <f t="shared" si="31"/>
        <v>-0.36146995382813429</v>
      </c>
      <c r="O164" s="7">
        <f t="shared" si="32"/>
        <v>6479.8631789731371</v>
      </c>
    </row>
    <row r="165" spans="1:15" x14ac:dyDescent="0.2">
      <c r="A165">
        <f t="shared" si="25"/>
        <v>161</v>
      </c>
      <c r="B165" s="7">
        <f t="shared" si="26"/>
        <v>391.56012478955631</v>
      </c>
      <c r="C165" s="7">
        <f t="shared" si="22"/>
        <v>278.93902007902574</v>
      </c>
      <c r="D165" s="7">
        <f t="shared" si="23"/>
        <v>112.6211047105306</v>
      </c>
      <c r="E165" s="7">
        <f>SUM(C$5:C165)</f>
        <v>51558.802199052181</v>
      </c>
      <c r="F165" s="7">
        <f>SUM(D$5:D165)</f>
        <v>11482.377892066412</v>
      </c>
      <c r="G165" s="7">
        <f>$D$1-'Amort Schedule - Investor'!F165</f>
        <v>44517.622107933588</v>
      </c>
      <c r="H165" s="11">
        <f t="shared" si="24"/>
        <v>0.79495753764167121</v>
      </c>
      <c r="J165" s="127">
        <f t="shared" si="27"/>
        <v>280</v>
      </c>
      <c r="K165" s="127">
        <f t="shared" si="28"/>
        <v>45080</v>
      </c>
      <c r="L165" s="7">
        <f t="shared" si="29"/>
        <v>111.56012478955631</v>
      </c>
      <c r="M165" s="7">
        <f t="shared" si="30"/>
        <v>17961.180091118546</v>
      </c>
      <c r="N165" s="7">
        <f t="shared" si="31"/>
        <v>-1.0609799209742619</v>
      </c>
      <c r="O165" s="7">
        <f t="shared" si="32"/>
        <v>6478.8021990521629</v>
      </c>
    </row>
    <row r="166" spans="1:15" x14ac:dyDescent="0.2">
      <c r="A166">
        <f t="shared" si="25"/>
        <v>162</v>
      </c>
      <c r="B166" s="7">
        <f t="shared" si="26"/>
        <v>391.56012478955631</v>
      </c>
      <c r="C166" s="7">
        <f t="shared" si="22"/>
        <v>278.23513817458485</v>
      </c>
      <c r="D166" s="7">
        <f t="shared" si="23"/>
        <v>113.32498661497142</v>
      </c>
      <c r="E166" s="7">
        <f>SUM(C$5:C166)</f>
        <v>51837.037337226764</v>
      </c>
      <c r="F166" s="7">
        <f>SUM(D$5:D166)</f>
        <v>11595.702878681383</v>
      </c>
      <c r="G166" s="7">
        <f>$D$1-'Amort Schedule - Investor'!F166</f>
        <v>44404.297121318617</v>
      </c>
      <c r="H166" s="11">
        <f t="shared" si="24"/>
        <v>0.79293387716640384</v>
      </c>
      <c r="J166" s="127">
        <f t="shared" si="27"/>
        <v>280</v>
      </c>
      <c r="K166" s="127">
        <f t="shared" si="28"/>
        <v>45360</v>
      </c>
      <c r="L166" s="7">
        <f t="shared" si="29"/>
        <v>111.56012478955631</v>
      </c>
      <c r="M166" s="7">
        <f t="shared" si="30"/>
        <v>18072.740215908103</v>
      </c>
      <c r="N166" s="7">
        <f t="shared" si="31"/>
        <v>-1.7648618254151529</v>
      </c>
      <c r="O166" s="7">
        <f t="shared" si="32"/>
        <v>6477.0373372267477</v>
      </c>
    </row>
    <row r="167" spans="1:15" x14ac:dyDescent="0.2">
      <c r="A167">
        <f t="shared" si="25"/>
        <v>163</v>
      </c>
      <c r="B167" s="7">
        <f t="shared" si="26"/>
        <v>391.56012478955631</v>
      </c>
      <c r="C167" s="7">
        <f t="shared" si="22"/>
        <v>277.52685700824134</v>
      </c>
      <c r="D167" s="7">
        <f t="shared" si="23"/>
        <v>114.03326778131499</v>
      </c>
      <c r="E167" s="7">
        <f>SUM(C$5:C167)</f>
        <v>52114.564194235005</v>
      </c>
      <c r="F167" s="7">
        <f>SUM(D$5:D167)</f>
        <v>11709.736146462697</v>
      </c>
      <c r="G167" s="7">
        <f>$D$1-'Amort Schedule - Investor'!F167</f>
        <v>44290.263853537304</v>
      </c>
      <c r="H167" s="11">
        <f t="shared" si="24"/>
        <v>0.7908975688131662</v>
      </c>
      <c r="J167" s="127">
        <f t="shared" si="27"/>
        <v>280</v>
      </c>
      <c r="K167" s="127">
        <f t="shared" si="28"/>
        <v>45640</v>
      </c>
      <c r="L167" s="7">
        <f t="shared" si="29"/>
        <v>111.56012478955631</v>
      </c>
      <c r="M167" s="7">
        <f t="shared" si="30"/>
        <v>18184.30034069766</v>
      </c>
      <c r="N167" s="7">
        <f t="shared" si="31"/>
        <v>-2.4731429917586638</v>
      </c>
      <c r="O167" s="7">
        <f t="shared" si="32"/>
        <v>6474.5641942349894</v>
      </c>
    </row>
    <row r="168" spans="1:15" x14ac:dyDescent="0.2">
      <c r="A168">
        <f t="shared" si="25"/>
        <v>164</v>
      </c>
      <c r="B168" s="7">
        <f t="shared" si="26"/>
        <v>391.56012478955631</v>
      </c>
      <c r="C168" s="7">
        <f t="shared" si="22"/>
        <v>276.81414908460812</v>
      </c>
      <c r="D168" s="7">
        <f t="shared" si="23"/>
        <v>114.74597570494819</v>
      </c>
      <c r="E168" s="7">
        <f>SUM(C$5:C168)</f>
        <v>52391.378343319615</v>
      </c>
      <c r="F168" s="7">
        <f>SUM(D$5:D168)</f>
        <v>11824.482122167645</v>
      </c>
      <c r="G168" s="7">
        <f>$D$1-'Amort Schedule - Investor'!F168</f>
        <v>44175.517877832353</v>
      </c>
      <c r="H168" s="11">
        <f t="shared" si="24"/>
        <v>0.78884853353272055</v>
      </c>
      <c r="J168" s="127">
        <f t="shared" si="27"/>
        <v>280</v>
      </c>
      <c r="K168" s="127">
        <f t="shared" si="28"/>
        <v>45920</v>
      </c>
      <c r="L168" s="7">
        <f t="shared" si="29"/>
        <v>111.56012478955631</v>
      </c>
      <c r="M168" s="7">
        <f t="shared" si="30"/>
        <v>18295.860465487218</v>
      </c>
      <c r="N168" s="7">
        <f t="shared" si="31"/>
        <v>-3.1858509153918817</v>
      </c>
      <c r="O168" s="7">
        <f t="shared" si="32"/>
        <v>6471.3783433195977</v>
      </c>
    </row>
    <row r="169" spans="1:15" x14ac:dyDescent="0.2">
      <c r="A169">
        <f t="shared" si="25"/>
        <v>165</v>
      </c>
      <c r="B169" s="7">
        <f t="shared" si="26"/>
        <v>391.56012478955631</v>
      </c>
      <c r="C169" s="7">
        <f t="shared" si="22"/>
        <v>276.09698673645221</v>
      </c>
      <c r="D169" s="7">
        <f t="shared" si="23"/>
        <v>115.46313805310412</v>
      </c>
      <c r="E169" s="7">
        <f>SUM(C$5:C169)</f>
        <v>52667.47533005607</v>
      </c>
      <c r="F169" s="7">
        <f>SUM(D$5:D169)</f>
        <v>11939.945260220749</v>
      </c>
      <c r="G169" s="7">
        <f>$D$1-'Amort Schedule - Investor'!F169</f>
        <v>44060.054739779254</v>
      </c>
      <c r="H169" s="11">
        <f t="shared" si="24"/>
        <v>0.78678669178177241</v>
      </c>
      <c r="J169" s="127">
        <f t="shared" si="27"/>
        <v>280</v>
      </c>
      <c r="K169" s="127">
        <f t="shared" si="28"/>
        <v>46200</v>
      </c>
      <c r="L169" s="7">
        <f t="shared" si="29"/>
        <v>111.56012478955631</v>
      </c>
      <c r="M169" s="7">
        <f t="shared" si="30"/>
        <v>18407.420590276775</v>
      </c>
      <c r="N169" s="7">
        <f t="shared" si="31"/>
        <v>-3.9030132635477912</v>
      </c>
      <c r="O169" s="7">
        <f t="shared" si="32"/>
        <v>6467.4753300560496</v>
      </c>
    </row>
    <row r="170" spans="1:15" x14ac:dyDescent="0.2">
      <c r="A170">
        <f t="shared" si="25"/>
        <v>166</v>
      </c>
      <c r="B170" s="7">
        <f t="shared" si="26"/>
        <v>391.56012478955631</v>
      </c>
      <c r="C170" s="7">
        <f t="shared" si="22"/>
        <v>275.37534212362038</v>
      </c>
      <c r="D170" s="7">
        <f t="shared" si="23"/>
        <v>116.18478266593601</v>
      </c>
      <c r="E170" s="7">
        <f>SUM(C$5:C170)</f>
        <v>52942.850672179688</v>
      </c>
      <c r="F170" s="7">
        <f>SUM(D$5:D170)</f>
        <v>12056.130042886685</v>
      </c>
      <c r="G170" s="7">
        <f>$D$1-'Amort Schedule - Investor'!F170</f>
        <v>43943.869957113318</v>
      </c>
      <c r="H170" s="11">
        <f t="shared" si="24"/>
        <v>0.78471196351988071</v>
      </c>
      <c r="J170" s="127">
        <f t="shared" si="27"/>
        <v>280</v>
      </c>
      <c r="K170" s="127">
        <f t="shared" si="28"/>
        <v>46480</v>
      </c>
      <c r="L170" s="7">
        <f t="shared" si="29"/>
        <v>111.56012478955631</v>
      </c>
      <c r="M170" s="7">
        <f t="shared" si="30"/>
        <v>18518.980715066333</v>
      </c>
      <c r="N170" s="7">
        <f t="shared" si="31"/>
        <v>-4.6246578763796151</v>
      </c>
      <c r="O170" s="7">
        <f t="shared" si="32"/>
        <v>6462.8506721796703</v>
      </c>
    </row>
    <row r="171" spans="1:15" x14ac:dyDescent="0.2">
      <c r="A171">
        <f t="shared" si="25"/>
        <v>167</v>
      </c>
      <c r="B171" s="7">
        <f t="shared" si="26"/>
        <v>391.56012478955631</v>
      </c>
      <c r="C171" s="7">
        <f t="shared" si="22"/>
        <v>274.64918723195819</v>
      </c>
      <c r="D171" s="7">
        <f t="shared" si="23"/>
        <v>116.9109375575981</v>
      </c>
      <c r="E171" s="7">
        <f>SUM(C$5:C171)</f>
        <v>53217.499859411648</v>
      </c>
      <c r="F171" s="7">
        <f>SUM(D$5:D171)</f>
        <v>12173.040980444282</v>
      </c>
      <c r="G171" s="7">
        <f>$D$1-'Amort Schedule - Investor'!F171</f>
        <v>43826.959019555718</v>
      </c>
      <c r="H171" s="11">
        <f t="shared" si="24"/>
        <v>0.78262426820635211</v>
      </c>
      <c r="J171" s="127">
        <f t="shared" si="27"/>
        <v>280</v>
      </c>
      <c r="K171" s="127">
        <f t="shared" si="28"/>
        <v>46760</v>
      </c>
      <c r="L171" s="7">
        <f t="shared" si="29"/>
        <v>111.56012478955631</v>
      </c>
      <c r="M171" s="7">
        <f t="shared" si="30"/>
        <v>18630.54083985589</v>
      </c>
      <c r="N171" s="7">
        <f t="shared" si="31"/>
        <v>-5.3508127680418056</v>
      </c>
      <c r="O171" s="7">
        <f t="shared" si="32"/>
        <v>6457.4998594116287</v>
      </c>
    </row>
    <row r="172" spans="1:15" s="6" customFormat="1" x14ac:dyDescent="0.2">
      <c r="A172" s="6">
        <f t="shared" si="25"/>
        <v>168</v>
      </c>
      <c r="B172" s="128">
        <f t="shared" si="26"/>
        <v>391.56012478955631</v>
      </c>
      <c r="C172" s="128">
        <f t="shared" si="22"/>
        <v>273.91849387222328</v>
      </c>
      <c r="D172" s="128">
        <f t="shared" si="23"/>
        <v>117.64163091733309</v>
      </c>
      <c r="E172" s="128">
        <f>SUM(C$5:C172)</f>
        <v>53491.418353283872</v>
      </c>
      <c r="F172" s="128">
        <f>SUM(D$5:D172)</f>
        <v>12290.682611361615</v>
      </c>
      <c r="G172" s="128">
        <f>$D$1-'Amort Schedule - Investor'!F172</f>
        <v>43709.317388638388</v>
      </c>
      <c r="H172" s="124">
        <f t="shared" si="24"/>
        <v>0.78052352479711407</v>
      </c>
      <c r="J172" s="127">
        <f t="shared" si="27"/>
        <v>280</v>
      </c>
      <c r="K172" s="127">
        <f t="shared" si="28"/>
        <v>47040</v>
      </c>
      <c r="L172" s="7">
        <f t="shared" si="29"/>
        <v>111.56012478955631</v>
      </c>
      <c r="M172" s="7">
        <f t="shared" si="30"/>
        <v>18742.100964645448</v>
      </c>
      <c r="N172" s="7">
        <f t="shared" si="31"/>
        <v>-6.0815061277767199</v>
      </c>
      <c r="O172" s="7">
        <f t="shared" si="32"/>
        <v>6451.4183532838524</v>
      </c>
    </row>
    <row r="173" spans="1:15" x14ac:dyDescent="0.2">
      <c r="A173">
        <f t="shared" si="25"/>
        <v>169</v>
      </c>
      <c r="B173" s="7">
        <f t="shared" si="26"/>
        <v>391.56012478955631</v>
      </c>
      <c r="C173" s="7">
        <f t="shared" si="22"/>
        <v>273.18323367898984</v>
      </c>
      <c r="D173" s="7">
        <f t="shared" si="23"/>
        <v>118.37689111056642</v>
      </c>
      <c r="E173" s="7">
        <f>SUM(C$5:C173)</f>
        <v>53764.601586962861</v>
      </c>
      <c r="F173" s="7">
        <f>SUM(D$5:D173)</f>
        <v>12409.059502472182</v>
      </c>
      <c r="G173" s="7">
        <f>$D$1-'Amort Schedule - Investor'!F173</f>
        <v>43590.940497527816</v>
      </c>
      <c r="H173" s="11">
        <f t="shared" si="24"/>
        <v>0.77840965174156818</v>
      </c>
      <c r="J173" s="127">
        <f t="shared" si="27"/>
        <v>280</v>
      </c>
      <c r="K173" s="127">
        <f t="shared" si="28"/>
        <v>47320</v>
      </c>
      <c r="L173" s="7">
        <f t="shared" si="29"/>
        <v>111.56012478955631</v>
      </c>
      <c r="M173" s="7">
        <f t="shared" si="30"/>
        <v>18853.661089435005</v>
      </c>
      <c r="N173" s="7">
        <f t="shared" si="31"/>
        <v>-6.8167663210101637</v>
      </c>
      <c r="O173" s="7">
        <f t="shared" si="32"/>
        <v>6444.6015869628427</v>
      </c>
    </row>
    <row r="174" spans="1:15" x14ac:dyDescent="0.2">
      <c r="A174">
        <f t="shared" si="25"/>
        <v>170</v>
      </c>
      <c r="B174" s="7">
        <f t="shared" si="26"/>
        <v>391.56012478955631</v>
      </c>
      <c r="C174" s="7">
        <f t="shared" si="22"/>
        <v>272.4433781095488</v>
      </c>
      <c r="D174" s="7">
        <f t="shared" si="23"/>
        <v>119.11674668000748</v>
      </c>
      <c r="E174" s="7">
        <f>SUM(C$5:C174)</f>
        <v>54037.044965072411</v>
      </c>
      <c r="F174" s="7">
        <f>SUM(D$5:D174)</f>
        <v>12528.176249152189</v>
      </c>
      <c r="G174" s="7">
        <f>$D$1-'Amort Schedule - Investor'!F174</f>
        <v>43471.823750847812</v>
      </c>
      <c r="H174" s="11">
        <f t="shared" si="24"/>
        <v>0.77628256697942521</v>
      </c>
      <c r="J174" s="127">
        <f t="shared" si="27"/>
        <v>280</v>
      </c>
      <c r="K174" s="127">
        <f t="shared" si="28"/>
        <v>47600</v>
      </c>
      <c r="L174" s="7">
        <f t="shared" si="29"/>
        <v>111.56012478955631</v>
      </c>
      <c r="M174" s="7">
        <f t="shared" si="30"/>
        <v>18965.221214224563</v>
      </c>
      <c r="N174" s="7">
        <f t="shared" si="31"/>
        <v>-7.556621890451197</v>
      </c>
      <c r="O174" s="7">
        <f t="shared" si="32"/>
        <v>6437.0449650723913</v>
      </c>
    </row>
    <row r="175" spans="1:15" x14ac:dyDescent="0.2">
      <c r="A175">
        <f t="shared" si="25"/>
        <v>171</v>
      </c>
      <c r="B175" s="7">
        <f t="shared" si="26"/>
        <v>391.56012478955631</v>
      </c>
      <c r="C175" s="7">
        <f t="shared" si="22"/>
        <v>271.69889844279879</v>
      </c>
      <c r="D175" s="7">
        <f t="shared" si="23"/>
        <v>119.86122634675752</v>
      </c>
      <c r="E175" s="7">
        <f>SUM(C$5:C175)</f>
        <v>54308.743863515207</v>
      </c>
      <c r="F175" s="7">
        <f>SUM(D$5:D175)</f>
        <v>12648.037475498946</v>
      </c>
      <c r="G175" s="7">
        <f>$D$1-'Amort Schedule - Investor'!F175</f>
        <v>43351.962524501054</v>
      </c>
      <c r="H175" s="11">
        <f t="shared" si="24"/>
        <v>0.77414218793751877</v>
      </c>
      <c r="J175" s="127">
        <f t="shared" si="27"/>
        <v>280</v>
      </c>
      <c r="K175" s="127">
        <f t="shared" si="28"/>
        <v>47880</v>
      </c>
      <c r="L175" s="7">
        <f t="shared" si="29"/>
        <v>111.56012478955631</v>
      </c>
      <c r="M175" s="7">
        <f t="shared" si="30"/>
        <v>19076.78133901412</v>
      </c>
      <c r="N175" s="7">
        <f t="shared" si="31"/>
        <v>-8.301101557201207</v>
      </c>
      <c r="O175" s="7">
        <f t="shared" si="32"/>
        <v>6428.7438635151902</v>
      </c>
    </row>
    <row r="176" spans="1:15" x14ac:dyDescent="0.2">
      <c r="A176">
        <f t="shared" si="25"/>
        <v>172</v>
      </c>
      <c r="B176" s="7">
        <f t="shared" si="26"/>
        <v>391.56012478955631</v>
      </c>
      <c r="C176" s="7">
        <f t="shared" si="22"/>
        <v>270.94976577813156</v>
      </c>
      <c r="D176" s="7">
        <f t="shared" si="23"/>
        <v>120.61035901142476</v>
      </c>
      <c r="E176" s="7">
        <f>SUM(C$5:C176)</f>
        <v>54579.693629293339</v>
      </c>
      <c r="F176" s="7">
        <f>SUM(D$5:D176)</f>
        <v>12768.647834510371</v>
      </c>
      <c r="G176" s="7">
        <f>$D$1-'Amort Schedule - Investor'!F176</f>
        <v>43231.352165489632</v>
      </c>
      <c r="H176" s="11">
        <f t="shared" si="24"/>
        <v>0.77198843152660057</v>
      </c>
      <c r="J176" s="127">
        <f t="shared" si="27"/>
        <v>280</v>
      </c>
      <c r="K176" s="127">
        <f t="shared" si="28"/>
        <v>48160</v>
      </c>
      <c r="L176" s="7">
        <f t="shared" si="29"/>
        <v>111.56012478955631</v>
      </c>
      <c r="M176" s="7">
        <f t="shared" si="30"/>
        <v>19188.341463803677</v>
      </c>
      <c r="N176" s="7">
        <f t="shared" si="31"/>
        <v>-9.0502342218684362</v>
      </c>
      <c r="O176" s="7">
        <f t="shared" si="32"/>
        <v>6419.6936292933215</v>
      </c>
    </row>
    <row r="177" spans="1:15" x14ac:dyDescent="0.2">
      <c r="A177">
        <f t="shared" si="25"/>
        <v>173</v>
      </c>
      <c r="B177" s="7">
        <f t="shared" si="26"/>
        <v>391.56012478955631</v>
      </c>
      <c r="C177" s="7">
        <f t="shared" si="22"/>
        <v>270.19595103431016</v>
      </c>
      <c r="D177" s="7">
        <f t="shared" si="23"/>
        <v>121.36417375524617</v>
      </c>
      <c r="E177" s="7">
        <f>SUM(C$5:C177)</f>
        <v>54849.889580327646</v>
      </c>
      <c r="F177" s="7">
        <f>SUM(D$5:D177)</f>
        <v>12890.012008265618</v>
      </c>
      <c r="G177" s="7">
        <f>$D$1-'Amort Schedule - Investor'!F177</f>
        <v>43109.987991734379</v>
      </c>
      <c r="H177" s="11">
        <f t="shared" si="24"/>
        <v>0.76982121413811389</v>
      </c>
      <c r="J177" s="127">
        <f t="shared" si="27"/>
        <v>280</v>
      </c>
      <c r="K177" s="127">
        <f t="shared" si="28"/>
        <v>48440</v>
      </c>
      <c r="L177" s="7">
        <f t="shared" si="29"/>
        <v>111.56012478955631</v>
      </c>
      <c r="M177" s="7">
        <f t="shared" si="30"/>
        <v>19299.901588593235</v>
      </c>
      <c r="N177" s="7">
        <f t="shared" si="31"/>
        <v>-9.8040489656898444</v>
      </c>
      <c r="O177" s="7">
        <f t="shared" si="32"/>
        <v>6409.8895803276318</v>
      </c>
    </row>
    <row r="178" spans="1:15" x14ac:dyDescent="0.2">
      <c r="A178">
        <f t="shared" si="25"/>
        <v>174</v>
      </c>
      <c r="B178" s="7">
        <f t="shared" si="26"/>
        <v>391.56012478955631</v>
      </c>
      <c r="C178" s="7">
        <f t="shared" si="22"/>
        <v>269.43742494833987</v>
      </c>
      <c r="D178" s="7">
        <f t="shared" si="23"/>
        <v>122.12269984121646</v>
      </c>
      <c r="E178" s="7">
        <f>SUM(C$5:C178)</f>
        <v>55119.327005275984</v>
      </c>
      <c r="F178" s="7">
        <f>SUM(D$5:D178)</f>
        <v>13012.134708106834</v>
      </c>
      <c r="G178" s="7">
        <f>$D$1-'Amort Schedule - Investor'!F178</f>
        <v>42987.865291893162</v>
      </c>
      <c r="H178" s="11">
        <f t="shared" si="24"/>
        <v>0.7676404516409493</v>
      </c>
      <c r="J178" s="127">
        <f t="shared" si="27"/>
        <v>280</v>
      </c>
      <c r="K178" s="127">
        <f t="shared" si="28"/>
        <v>48720</v>
      </c>
      <c r="L178" s="7">
        <f t="shared" si="29"/>
        <v>111.56012478955631</v>
      </c>
      <c r="M178" s="7">
        <f t="shared" si="30"/>
        <v>19411.461713382792</v>
      </c>
      <c r="N178" s="7">
        <f t="shared" si="31"/>
        <v>-10.562575051660133</v>
      </c>
      <c r="O178" s="7">
        <f t="shared" si="32"/>
        <v>6399.3270052759717</v>
      </c>
    </row>
    <row r="179" spans="1:15" x14ac:dyDescent="0.2">
      <c r="A179">
        <f t="shared" si="25"/>
        <v>175</v>
      </c>
      <c r="B179" s="7">
        <f t="shared" si="26"/>
        <v>391.56012478955631</v>
      </c>
      <c r="C179" s="7">
        <f t="shared" si="22"/>
        <v>268.67415807433224</v>
      </c>
      <c r="D179" s="7">
        <f t="shared" si="23"/>
        <v>122.88596671522406</v>
      </c>
      <c r="E179" s="7">
        <f>SUM(C$5:C179)</f>
        <v>55388.001163350316</v>
      </c>
      <c r="F179" s="7">
        <f>SUM(D$5:D179)</f>
        <v>13135.020674822059</v>
      </c>
      <c r="G179" s="7">
        <f>$D$1-'Amort Schedule - Investor'!F179</f>
        <v>42864.979325177941</v>
      </c>
      <c r="H179" s="11">
        <f t="shared" si="24"/>
        <v>0.76544605937817756</v>
      </c>
      <c r="J179" s="127">
        <f t="shared" si="27"/>
        <v>280</v>
      </c>
      <c r="K179" s="127">
        <f t="shared" si="28"/>
        <v>49000</v>
      </c>
      <c r="L179" s="7">
        <f t="shared" si="29"/>
        <v>111.56012478955631</v>
      </c>
      <c r="M179" s="7">
        <f t="shared" si="30"/>
        <v>19523.02183817235</v>
      </c>
      <c r="N179" s="7">
        <f t="shared" si="31"/>
        <v>-11.32584192566776</v>
      </c>
      <c r="O179" s="7">
        <f t="shared" si="32"/>
        <v>6388.0011633503036</v>
      </c>
    </row>
    <row r="180" spans="1:15" x14ac:dyDescent="0.2">
      <c r="A180">
        <f t="shared" si="25"/>
        <v>176</v>
      </c>
      <c r="B180" s="7">
        <f t="shared" si="26"/>
        <v>391.56012478955631</v>
      </c>
      <c r="C180" s="7">
        <f t="shared" si="22"/>
        <v>267.90612078236211</v>
      </c>
      <c r="D180" s="7">
        <f t="shared" si="23"/>
        <v>123.65400400719419</v>
      </c>
      <c r="E180" s="7">
        <f>SUM(C$5:C180)</f>
        <v>55655.907284132678</v>
      </c>
      <c r="F180" s="7">
        <f>SUM(D$5:D180)</f>
        <v>13258.674678829253</v>
      </c>
      <c r="G180" s="7">
        <f>$D$1-'Amort Schedule - Investor'!F180</f>
        <v>42741.325321170749</v>
      </c>
      <c r="H180" s="11">
        <f t="shared" si="24"/>
        <v>0.76323795216376333</v>
      </c>
      <c r="J180" s="127">
        <f t="shared" si="27"/>
        <v>280</v>
      </c>
      <c r="K180" s="127">
        <f t="shared" si="28"/>
        <v>49280</v>
      </c>
      <c r="L180" s="7">
        <f t="shared" si="29"/>
        <v>111.56012478955631</v>
      </c>
      <c r="M180" s="7">
        <f t="shared" si="30"/>
        <v>19634.581962961907</v>
      </c>
      <c r="N180" s="7">
        <f t="shared" si="31"/>
        <v>-12.093879217637891</v>
      </c>
      <c r="O180" s="7">
        <f t="shared" si="32"/>
        <v>6375.9072841326661</v>
      </c>
    </row>
    <row r="181" spans="1:15" x14ac:dyDescent="0.2">
      <c r="A181">
        <f t="shared" si="25"/>
        <v>177</v>
      </c>
      <c r="B181" s="7">
        <f t="shared" si="26"/>
        <v>391.56012478955631</v>
      </c>
      <c r="C181" s="7">
        <f t="shared" si="22"/>
        <v>267.13328325731715</v>
      </c>
      <c r="D181" s="7">
        <f t="shared" si="23"/>
        <v>124.42684153223917</v>
      </c>
      <c r="E181" s="7">
        <f>SUM(C$5:C181)</f>
        <v>55923.040567389995</v>
      </c>
      <c r="F181" s="7">
        <f>SUM(D$5:D181)</f>
        <v>13383.101520361492</v>
      </c>
      <c r="G181" s="7">
        <f>$D$1-'Amort Schedule - Investor'!F181</f>
        <v>42616.898479638505</v>
      </c>
      <c r="H181" s="11">
        <f t="shared" si="24"/>
        <v>0.76101604427925906</v>
      </c>
      <c r="J181" s="127">
        <f t="shared" si="27"/>
        <v>280</v>
      </c>
      <c r="K181" s="127">
        <f t="shared" si="28"/>
        <v>49560</v>
      </c>
      <c r="L181" s="7">
        <f t="shared" si="29"/>
        <v>111.56012478955631</v>
      </c>
      <c r="M181" s="7">
        <f t="shared" si="30"/>
        <v>19746.142087751465</v>
      </c>
      <c r="N181" s="7">
        <f t="shared" si="31"/>
        <v>-12.866716742682854</v>
      </c>
      <c r="O181" s="7">
        <f t="shared" si="32"/>
        <v>6363.0405673899832</v>
      </c>
    </row>
    <row r="182" spans="1:15" x14ac:dyDescent="0.2">
      <c r="A182">
        <f t="shared" si="25"/>
        <v>178</v>
      </c>
      <c r="B182" s="7">
        <f t="shared" si="26"/>
        <v>391.56012478955631</v>
      </c>
      <c r="C182" s="7">
        <f t="shared" si="22"/>
        <v>266.3556154977407</v>
      </c>
      <c r="D182" s="7">
        <f t="shared" si="23"/>
        <v>125.20450929181567</v>
      </c>
      <c r="E182" s="7">
        <f>SUM(C$5:C182)</f>
        <v>56189.396182887736</v>
      </c>
      <c r="F182" s="7">
        <f>SUM(D$5:D182)</f>
        <v>13508.306029653308</v>
      </c>
      <c r="G182" s="7">
        <f>$D$1-'Amort Schedule - Investor'!F182</f>
        <v>42491.693970346692</v>
      </c>
      <c r="H182" s="11">
        <f t="shared" si="24"/>
        <v>0.75878024947047662</v>
      </c>
      <c r="J182" s="127">
        <f t="shared" si="27"/>
        <v>280</v>
      </c>
      <c r="K182" s="127">
        <f t="shared" si="28"/>
        <v>49840</v>
      </c>
      <c r="L182" s="7">
        <f t="shared" si="29"/>
        <v>111.56012478955631</v>
      </c>
      <c r="M182" s="7">
        <f t="shared" si="30"/>
        <v>19857.702212541022</v>
      </c>
      <c r="N182" s="7">
        <f t="shared" si="31"/>
        <v>-13.6443845022593</v>
      </c>
      <c r="O182" s="7">
        <f t="shared" si="32"/>
        <v>6349.3961828877236</v>
      </c>
    </row>
    <row r="183" spans="1:15" x14ac:dyDescent="0.2">
      <c r="A183">
        <f t="shared" si="25"/>
        <v>179</v>
      </c>
      <c r="B183" s="7">
        <f t="shared" si="26"/>
        <v>391.56012478955631</v>
      </c>
      <c r="C183" s="7">
        <f t="shared" si="22"/>
        <v>265.57308731466679</v>
      </c>
      <c r="D183" s="7">
        <f t="shared" si="23"/>
        <v>125.98703747488952</v>
      </c>
      <c r="E183" s="7">
        <f>SUM(C$5:C183)</f>
        <v>56454.969270202404</v>
      </c>
      <c r="F183" s="7">
        <f>SUM(D$5:D183)</f>
        <v>13634.293067128197</v>
      </c>
      <c r="G183" s="7">
        <f>$D$1-'Amort Schedule - Investor'!F183</f>
        <v>42365.706932871806</v>
      </c>
      <c r="H183" s="11">
        <f t="shared" si="24"/>
        <v>0.75653048094413944</v>
      </c>
      <c r="J183" s="127">
        <f t="shared" si="27"/>
        <v>280</v>
      </c>
      <c r="K183" s="127">
        <f t="shared" si="28"/>
        <v>50120</v>
      </c>
      <c r="L183" s="7">
        <f t="shared" si="29"/>
        <v>111.56012478955631</v>
      </c>
      <c r="M183" s="7">
        <f t="shared" si="30"/>
        <v>19969.26233733058</v>
      </c>
      <c r="N183" s="7">
        <f t="shared" si="31"/>
        <v>-14.426912685333207</v>
      </c>
      <c r="O183" s="7">
        <f t="shared" si="32"/>
        <v>6334.9692702023904</v>
      </c>
    </row>
    <row r="184" spans="1:15" s="6" customFormat="1" x14ac:dyDescent="0.2">
      <c r="A184" s="6">
        <f t="shared" si="25"/>
        <v>180</v>
      </c>
      <c r="B184" s="128">
        <f t="shared" si="26"/>
        <v>391.56012478955631</v>
      </c>
      <c r="C184" s="128">
        <f t="shared" si="22"/>
        <v>264.78566833044874</v>
      </c>
      <c r="D184" s="128">
        <f t="shared" si="23"/>
        <v>126.77445645910758</v>
      </c>
      <c r="E184" s="128">
        <f>SUM(C$5:C184)</f>
        <v>56719.754938532853</v>
      </c>
      <c r="F184" s="128">
        <f>SUM(D$5:D184)</f>
        <v>13761.067523587306</v>
      </c>
      <c r="G184" s="128">
        <f>$D$1-'Amort Schedule - Investor'!F184</f>
        <v>42238.932476412694</v>
      </c>
      <c r="H184" s="124">
        <f t="shared" si="24"/>
        <v>0.75426665136451243</v>
      </c>
      <c r="J184" s="127">
        <f t="shared" si="27"/>
        <v>280</v>
      </c>
      <c r="K184" s="127">
        <f t="shared" si="28"/>
        <v>50400</v>
      </c>
      <c r="L184" s="7">
        <f t="shared" si="29"/>
        <v>111.56012478955631</v>
      </c>
      <c r="M184" s="7">
        <f t="shared" si="30"/>
        <v>20080.822462120137</v>
      </c>
      <c r="N184" s="7">
        <f t="shared" si="31"/>
        <v>-15.214331669551257</v>
      </c>
      <c r="O184" s="7">
        <f t="shared" si="32"/>
        <v>6319.7549385328393</v>
      </c>
    </row>
    <row r="185" spans="1:15" x14ac:dyDescent="0.2">
      <c r="A185">
        <f t="shared" si="25"/>
        <v>181</v>
      </c>
      <c r="B185" s="7">
        <f t="shared" si="26"/>
        <v>391.56012478955631</v>
      </c>
      <c r="C185" s="7">
        <f t="shared" si="22"/>
        <v>263.99332797757933</v>
      </c>
      <c r="D185" s="7">
        <f t="shared" si="23"/>
        <v>127.56679681197701</v>
      </c>
      <c r="E185" s="7">
        <f>SUM(C$5:C185)</f>
        <v>56983.748266510433</v>
      </c>
      <c r="F185" s="7">
        <f>SUM(D$5:D185)</f>
        <v>13888.634320399284</v>
      </c>
      <c r="G185" s="7">
        <f>$D$1-'Amort Schedule - Investor'!F185</f>
        <v>42111.365679600713</v>
      </c>
      <c r="H185" s="11">
        <f t="shared" si="24"/>
        <v>0.7519886728500127</v>
      </c>
      <c r="J185" s="127">
        <f t="shared" si="27"/>
        <v>280</v>
      </c>
      <c r="K185" s="127">
        <f t="shared" si="28"/>
        <v>50680</v>
      </c>
      <c r="L185" s="7">
        <f t="shared" si="29"/>
        <v>111.56012478955631</v>
      </c>
      <c r="M185" s="7">
        <f t="shared" si="30"/>
        <v>20192.382586909695</v>
      </c>
      <c r="N185" s="7">
        <f t="shared" si="31"/>
        <v>-16.006672022420673</v>
      </c>
      <c r="O185" s="7">
        <f t="shared" si="32"/>
        <v>6303.7482665104189</v>
      </c>
    </row>
    <row r="186" spans="1:15" x14ac:dyDescent="0.2">
      <c r="A186">
        <f t="shared" si="25"/>
        <v>182</v>
      </c>
      <c r="B186" s="7">
        <f t="shared" si="26"/>
        <v>391.56012478955631</v>
      </c>
      <c r="C186" s="7">
        <f t="shared" si="22"/>
        <v>263.19603549750445</v>
      </c>
      <c r="D186" s="7">
        <f t="shared" si="23"/>
        <v>128.36408929205186</v>
      </c>
      <c r="E186" s="7">
        <f>SUM(C$5:C186)</f>
        <v>57246.944302007934</v>
      </c>
      <c r="F186" s="7">
        <f>SUM(D$5:D186)</f>
        <v>14016.998409691336</v>
      </c>
      <c r="G186" s="7">
        <f>$D$1-'Amort Schedule - Investor'!F186</f>
        <v>41983.001590308661</v>
      </c>
      <c r="H186" s="11">
        <f t="shared" si="24"/>
        <v>0.74969645696979748</v>
      </c>
      <c r="J186" s="127">
        <f t="shared" si="27"/>
        <v>280</v>
      </c>
      <c r="K186" s="127">
        <f t="shared" si="28"/>
        <v>50960</v>
      </c>
      <c r="L186" s="7">
        <f t="shared" si="29"/>
        <v>111.56012478955631</v>
      </c>
      <c r="M186" s="7">
        <f t="shared" si="30"/>
        <v>20303.942711699252</v>
      </c>
      <c r="N186" s="7">
        <f t="shared" si="31"/>
        <v>-16.803964502495546</v>
      </c>
      <c r="O186" s="7">
        <f t="shared" si="32"/>
        <v>6286.9443020079234</v>
      </c>
    </row>
    <row r="187" spans="1:15" x14ac:dyDescent="0.2">
      <c r="A187">
        <f t="shared" si="25"/>
        <v>183</v>
      </c>
      <c r="B187" s="7">
        <f t="shared" si="26"/>
        <v>391.56012478955631</v>
      </c>
      <c r="C187" s="7">
        <f t="shared" si="22"/>
        <v>262.39375993942917</v>
      </c>
      <c r="D187" s="7">
        <f t="shared" si="23"/>
        <v>129.1663648501272</v>
      </c>
      <c r="E187" s="7">
        <f>SUM(C$5:C187)</f>
        <v>57509.338061947361</v>
      </c>
      <c r="F187" s="7">
        <f>SUM(D$5:D187)</f>
        <v>14146.164774541463</v>
      </c>
      <c r="G187" s="7">
        <f>$D$1-'Amort Schedule - Investor'!F187</f>
        <v>41853.835225458533</v>
      </c>
      <c r="H187" s="11">
        <f t="shared" si="24"/>
        <v>0.74738991474033101</v>
      </c>
      <c r="J187" s="127">
        <f t="shared" si="27"/>
        <v>280</v>
      </c>
      <c r="K187" s="127">
        <f t="shared" si="28"/>
        <v>51240</v>
      </c>
      <c r="L187" s="7">
        <f t="shared" si="29"/>
        <v>111.56012478955631</v>
      </c>
      <c r="M187" s="7">
        <f t="shared" si="30"/>
        <v>20415.502836488809</v>
      </c>
      <c r="N187" s="7">
        <f t="shared" si="31"/>
        <v>-17.606240060570826</v>
      </c>
      <c r="O187" s="7">
        <f t="shared" si="32"/>
        <v>6269.3380619473528</v>
      </c>
    </row>
    <row r="188" spans="1:15" x14ac:dyDescent="0.2">
      <c r="A188">
        <f t="shared" si="25"/>
        <v>184</v>
      </c>
      <c r="B188" s="7">
        <f t="shared" si="26"/>
        <v>391.56012478955631</v>
      </c>
      <c r="C188" s="7">
        <f t="shared" si="22"/>
        <v>261.58647015911583</v>
      </c>
      <c r="D188" s="7">
        <f t="shared" si="23"/>
        <v>129.97365463044048</v>
      </c>
      <c r="E188" s="7">
        <f>SUM(C$5:C188)</f>
        <v>57770.924532106474</v>
      </c>
      <c r="F188" s="7">
        <f>SUM(D$5:D188)</f>
        <v>14276.138429171904</v>
      </c>
      <c r="G188" s="7">
        <f>$D$1-'Amort Schedule - Investor'!F188</f>
        <v>41723.8615708281</v>
      </c>
      <c r="H188" s="11">
        <f t="shared" si="24"/>
        <v>0.7450689566219304</v>
      </c>
      <c r="J188" s="127">
        <f t="shared" si="27"/>
        <v>280</v>
      </c>
      <c r="K188" s="127">
        <f t="shared" si="28"/>
        <v>51520</v>
      </c>
      <c r="L188" s="7">
        <f t="shared" si="29"/>
        <v>111.56012478955631</v>
      </c>
      <c r="M188" s="7">
        <f t="shared" si="30"/>
        <v>20527.062961278367</v>
      </c>
      <c r="N188" s="7">
        <f t="shared" si="31"/>
        <v>-18.413529840884166</v>
      </c>
      <c r="O188" s="7">
        <f t="shared" si="32"/>
        <v>6250.9245321064682</v>
      </c>
    </row>
    <row r="189" spans="1:15" x14ac:dyDescent="0.2">
      <c r="A189">
        <f t="shared" si="25"/>
        <v>185</v>
      </c>
      <c r="B189" s="7">
        <f t="shared" si="26"/>
        <v>391.56012478955631</v>
      </c>
      <c r="C189" s="7">
        <f t="shared" si="22"/>
        <v>260.77413481767559</v>
      </c>
      <c r="D189" s="7">
        <f t="shared" si="23"/>
        <v>130.78598997188075</v>
      </c>
      <c r="E189" s="7">
        <f>SUM(C$5:C189)</f>
        <v>58031.698666924152</v>
      </c>
      <c r="F189" s="7">
        <f>SUM(D$5:D189)</f>
        <v>14406.924419143785</v>
      </c>
      <c r="G189" s="7">
        <f>$D$1-'Amort Schedule - Investor'!F189</f>
        <v>41593.075580856217</v>
      </c>
      <c r="H189" s="11">
        <f t="shared" si="24"/>
        <v>0.74273349251528964</v>
      </c>
      <c r="J189" s="127">
        <f t="shared" si="27"/>
        <v>280</v>
      </c>
      <c r="K189" s="127">
        <f t="shared" si="28"/>
        <v>51800</v>
      </c>
      <c r="L189" s="7">
        <f t="shared" si="29"/>
        <v>111.56012478955631</v>
      </c>
      <c r="M189" s="7">
        <f t="shared" si="30"/>
        <v>20638.623086067924</v>
      </c>
      <c r="N189" s="7">
        <f t="shared" si="31"/>
        <v>-19.225865182324412</v>
      </c>
      <c r="O189" s="7">
        <f t="shared" si="32"/>
        <v>6231.6986669241442</v>
      </c>
    </row>
    <row r="190" spans="1:15" x14ac:dyDescent="0.2">
      <c r="A190">
        <f t="shared" si="25"/>
        <v>186</v>
      </c>
      <c r="B190" s="7">
        <f t="shared" si="26"/>
        <v>391.56012478955631</v>
      </c>
      <c r="C190" s="7">
        <f t="shared" si="22"/>
        <v>259.95672238035132</v>
      </c>
      <c r="D190" s="7">
        <f t="shared" si="23"/>
        <v>131.60340240920499</v>
      </c>
      <c r="E190" s="7">
        <f>SUM(C$5:C190)</f>
        <v>58291.655389304506</v>
      </c>
      <c r="F190" s="7">
        <f>SUM(D$5:D190)</f>
        <v>14538.527821552989</v>
      </c>
      <c r="G190" s="7">
        <f>$D$1-'Amort Schedule - Investor'!F190</f>
        <v>41461.472178447009</v>
      </c>
      <c r="H190" s="11">
        <f t="shared" si="24"/>
        <v>0.74038343175798227</v>
      </c>
      <c r="J190" s="127">
        <f t="shared" si="27"/>
        <v>280</v>
      </c>
      <c r="K190" s="127">
        <f t="shared" si="28"/>
        <v>52080</v>
      </c>
      <c r="L190" s="7">
        <f t="shared" si="29"/>
        <v>111.56012478955631</v>
      </c>
      <c r="M190" s="7">
        <f t="shared" si="30"/>
        <v>20750.183210857482</v>
      </c>
      <c r="N190" s="7">
        <f t="shared" si="31"/>
        <v>-20.043277619648677</v>
      </c>
      <c r="O190" s="7">
        <f t="shared" si="32"/>
        <v>6211.6553893044957</v>
      </c>
    </row>
    <row r="191" spans="1:15" x14ac:dyDescent="0.2">
      <c r="A191">
        <f t="shared" si="25"/>
        <v>187</v>
      </c>
      <c r="B191" s="7">
        <f t="shared" si="26"/>
        <v>391.56012478955631</v>
      </c>
      <c r="C191" s="7">
        <f t="shared" si="22"/>
        <v>259.13420111529382</v>
      </c>
      <c r="D191" s="7">
        <f t="shared" si="23"/>
        <v>132.42592367426249</v>
      </c>
      <c r="E191" s="7">
        <f>SUM(C$5:C191)</f>
        <v>58550.789590419801</v>
      </c>
      <c r="F191" s="7">
        <f>SUM(D$5:D191)</f>
        <v>14670.953745227251</v>
      </c>
      <c r="G191" s="7">
        <f>$D$1-'Amort Schedule - Investor'!F191</f>
        <v>41329.046254772751</v>
      </c>
      <c r="H191" s="11">
        <f t="shared" si="24"/>
        <v>0.73801868312094199</v>
      </c>
      <c r="J191" s="127">
        <f t="shared" si="27"/>
        <v>280</v>
      </c>
      <c r="K191" s="127">
        <f t="shared" si="28"/>
        <v>52360</v>
      </c>
      <c r="L191" s="7">
        <f t="shared" si="29"/>
        <v>111.56012478955631</v>
      </c>
      <c r="M191" s="7">
        <f t="shared" si="30"/>
        <v>20861.743335647039</v>
      </c>
      <c r="N191" s="7">
        <f t="shared" si="31"/>
        <v>-20.86579888470618</v>
      </c>
      <c r="O191" s="7">
        <f t="shared" si="32"/>
        <v>6190.7895904197894</v>
      </c>
    </row>
    <row r="192" spans="1:15" x14ac:dyDescent="0.2">
      <c r="A192">
        <f t="shared" si="25"/>
        <v>188</v>
      </c>
      <c r="B192" s="7">
        <f t="shared" si="26"/>
        <v>391.56012478955631</v>
      </c>
      <c r="C192" s="7">
        <f t="shared" si="22"/>
        <v>258.30653909232967</v>
      </c>
      <c r="D192" s="7">
        <f t="shared" si="23"/>
        <v>133.25358569722664</v>
      </c>
      <c r="E192" s="7">
        <f>SUM(C$5:C192)</f>
        <v>58809.096129512131</v>
      </c>
      <c r="F192" s="7">
        <f>SUM(D$5:D192)</f>
        <v>14804.207330924477</v>
      </c>
      <c r="G192" s="7">
        <f>$D$1-'Amort Schedule - Investor'!F192</f>
        <v>41195.792669075527</v>
      </c>
      <c r="H192" s="11">
        <f t="shared" si="24"/>
        <v>0.73563915480492015</v>
      </c>
      <c r="J192" s="127">
        <f t="shared" si="27"/>
        <v>280</v>
      </c>
      <c r="K192" s="127">
        <f t="shared" si="28"/>
        <v>52640</v>
      </c>
      <c r="L192" s="7">
        <f t="shared" si="29"/>
        <v>111.56012478955631</v>
      </c>
      <c r="M192" s="7">
        <f t="shared" si="30"/>
        <v>20973.303460436597</v>
      </c>
      <c r="N192" s="7">
        <f t="shared" si="31"/>
        <v>-21.693460907670328</v>
      </c>
      <c r="O192" s="7">
        <f t="shared" si="32"/>
        <v>6169.0961295121188</v>
      </c>
    </row>
    <row r="193" spans="1:15" x14ac:dyDescent="0.2">
      <c r="A193">
        <f t="shared" si="25"/>
        <v>189</v>
      </c>
      <c r="B193" s="7">
        <f t="shared" si="26"/>
        <v>391.56012478955631</v>
      </c>
      <c r="C193" s="7">
        <f t="shared" si="22"/>
        <v>257.47370418172198</v>
      </c>
      <c r="D193" s="7">
        <f t="shared" si="23"/>
        <v>134.0864206078343</v>
      </c>
      <c r="E193" s="7">
        <f>SUM(C$5:C193)</f>
        <v>59066.569833693851</v>
      </c>
      <c r="F193" s="7">
        <f>SUM(D$5:D193)</f>
        <v>14938.293751532312</v>
      </c>
      <c r="G193" s="7">
        <f>$D$1-'Amort Schedule - Investor'!F193</f>
        <v>41061.706248467686</v>
      </c>
      <c r="H193" s="11">
        <f t="shared" si="24"/>
        <v>0.73324475443692294</v>
      </c>
      <c r="J193" s="127">
        <f t="shared" si="27"/>
        <v>280</v>
      </c>
      <c r="K193" s="127">
        <f t="shared" si="28"/>
        <v>52920</v>
      </c>
      <c r="L193" s="7">
        <f t="shared" si="29"/>
        <v>111.56012478955631</v>
      </c>
      <c r="M193" s="7">
        <f t="shared" si="30"/>
        <v>21084.863585226154</v>
      </c>
      <c r="N193" s="7">
        <f t="shared" si="31"/>
        <v>-22.526295818278015</v>
      </c>
      <c r="O193" s="7">
        <f t="shared" si="32"/>
        <v>6146.5698336938403</v>
      </c>
    </row>
    <row r="194" spans="1:15" x14ac:dyDescent="0.2">
      <c r="A194">
        <f t="shared" si="25"/>
        <v>190</v>
      </c>
      <c r="B194" s="7">
        <f t="shared" si="26"/>
        <v>391.56012478955631</v>
      </c>
      <c r="C194" s="7">
        <f t="shared" si="22"/>
        <v>256.635664052923</v>
      </c>
      <c r="D194" s="7">
        <f t="shared" si="23"/>
        <v>134.92446073663328</v>
      </c>
      <c r="E194" s="7">
        <f>SUM(C$5:C194)</f>
        <v>59323.205497746778</v>
      </c>
      <c r="F194" s="7">
        <f>SUM(D$5:D194)</f>
        <v>15073.218212268945</v>
      </c>
      <c r="G194" s="7">
        <f>$D$1-'Amort Schedule - Investor'!F194</f>
        <v>40926.781787731059</v>
      </c>
      <c r="H194" s="11">
        <f t="shared" si="24"/>
        <v>0.73083538906662604</v>
      </c>
      <c r="J194" s="127">
        <f t="shared" si="27"/>
        <v>280</v>
      </c>
      <c r="K194" s="127">
        <f t="shared" si="28"/>
        <v>53200</v>
      </c>
      <c r="L194" s="7">
        <f t="shared" si="29"/>
        <v>111.56012478955631</v>
      </c>
      <c r="M194" s="7">
        <f t="shared" si="30"/>
        <v>21196.423710015712</v>
      </c>
      <c r="N194" s="7">
        <f t="shared" si="31"/>
        <v>-23.364335947076995</v>
      </c>
      <c r="O194" s="7">
        <f t="shared" si="32"/>
        <v>6123.2054977467633</v>
      </c>
    </row>
    <row r="195" spans="1:15" x14ac:dyDescent="0.2">
      <c r="A195">
        <f t="shared" si="25"/>
        <v>191</v>
      </c>
      <c r="B195" s="7">
        <f t="shared" si="26"/>
        <v>391.56012478955631</v>
      </c>
      <c r="C195" s="7">
        <f t="shared" si="22"/>
        <v>255.7923861733191</v>
      </c>
      <c r="D195" s="7">
        <f t="shared" si="23"/>
        <v>135.76773861623724</v>
      </c>
      <c r="E195" s="7">
        <f>SUM(C$5:C195)</f>
        <v>59578.997883920099</v>
      </c>
      <c r="F195" s="7">
        <f>SUM(D$5:D195)</f>
        <v>15208.985950885182</v>
      </c>
      <c r="G195" s="7">
        <f>$D$1-'Amort Schedule - Investor'!F195</f>
        <v>40791.014049114819</v>
      </c>
      <c r="H195" s="11">
        <f t="shared" si="24"/>
        <v>0.7284109651627646</v>
      </c>
      <c r="J195" s="127">
        <f t="shared" si="27"/>
        <v>280</v>
      </c>
      <c r="K195" s="127">
        <f t="shared" si="28"/>
        <v>53480</v>
      </c>
      <c r="L195" s="7">
        <f t="shared" si="29"/>
        <v>111.56012478955631</v>
      </c>
      <c r="M195" s="7">
        <f t="shared" si="30"/>
        <v>21307.983834805269</v>
      </c>
      <c r="N195" s="7">
        <f t="shared" si="31"/>
        <v>-24.207613826680898</v>
      </c>
      <c r="O195" s="7">
        <f t="shared" si="32"/>
        <v>6098.9978839200821</v>
      </c>
    </row>
    <row r="196" spans="1:15" s="6" customFormat="1" x14ac:dyDescent="0.2">
      <c r="A196" s="6">
        <f t="shared" si="25"/>
        <v>192</v>
      </c>
      <c r="B196" s="128">
        <f t="shared" si="26"/>
        <v>391.56012478955631</v>
      </c>
      <c r="C196" s="128">
        <f t="shared" si="22"/>
        <v>254.94383780696759</v>
      </c>
      <c r="D196" s="128">
        <f t="shared" si="23"/>
        <v>136.61628698258869</v>
      </c>
      <c r="E196" s="128">
        <f>SUM(C$5:C196)</f>
        <v>59833.941721727067</v>
      </c>
      <c r="F196" s="128">
        <f>SUM(D$5:D196)</f>
        <v>15345.602237867772</v>
      </c>
      <c r="G196" s="128">
        <f>$D$1-'Amort Schedule - Investor'!F196</f>
        <v>40654.397762132226</v>
      </c>
      <c r="H196" s="124">
        <f t="shared" si="24"/>
        <v>0.72597138860950405</v>
      </c>
      <c r="J196" s="127">
        <f t="shared" si="27"/>
        <v>280</v>
      </c>
      <c r="K196" s="127">
        <f t="shared" si="28"/>
        <v>53760</v>
      </c>
      <c r="L196" s="7">
        <f t="shared" si="29"/>
        <v>111.56012478955631</v>
      </c>
      <c r="M196" s="7">
        <f t="shared" si="30"/>
        <v>21419.543959594826</v>
      </c>
      <c r="N196" s="7">
        <f t="shared" si="31"/>
        <v>-25.056162193032407</v>
      </c>
      <c r="O196" s="7">
        <f t="shared" si="32"/>
        <v>6073.9417217270493</v>
      </c>
    </row>
    <row r="197" spans="1:15" x14ac:dyDescent="0.2">
      <c r="A197">
        <f t="shared" si="25"/>
        <v>193</v>
      </c>
      <c r="B197" s="7">
        <f t="shared" si="26"/>
        <v>391.56012478955631</v>
      </c>
      <c r="C197" s="7">
        <f t="shared" si="22"/>
        <v>254.08998601332644</v>
      </c>
      <c r="D197" s="7">
        <f t="shared" si="23"/>
        <v>137.4701387762299</v>
      </c>
      <c r="E197" s="7">
        <f>SUM(C$5:C197)</f>
        <v>60088.031707740396</v>
      </c>
      <c r="F197" s="7">
        <f>SUM(D$5:D197)</f>
        <v>15483.072376644002</v>
      </c>
      <c r="G197" s="7">
        <f>$D$1-'Amort Schedule - Investor'!F197</f>
        <v>40516.927623355994</v>
      </c>
      <c r="H197" s="11">
        <f t="shared" si="24"/>
        <v>0.72351656470278558</v>
      </c>
      <c r="J197" s="127">
        <f t="shared" si="27"/>
        <v>280</v>
      </c>
      <c r="K197" s="127">
        <f t="shared" si="28"/>
        <v>54040</v>
      </c>
      <c r="L197" s="7">
        <f t="shared" si="29"/>
        <v>111.56012478955631</v>
      </c>
      <c r="M197" s="7">
        <f t="shared" si="30"/>
        <v>21531.104084384384</v>
      </c>
      <c r="N197" s="7">
        <f t="shared" si="31"/>
        <v>-25.910013986673562</v>
      </c>
      <c r="O197" s="7">
        <f t="shared" si="32"/>
        <v>6048.0317077403761</v>
      </c>
    </row>
    <row r="198" spans="1:15" x14ac:dyDescent="0.2">
      <c r="A198">
        <f t="shared" si="25"/>
        <v>194</v>
      </c>
      <c r="B198" s="7">
        <f t="shared" si="26"/>
        <v>391.56012478955631</v>
      </c>
      <c r="C198" s="7">
        <f t="shared" ref="C198:C261" si="33">-IPMT($D$2/12,A198,$D$3,$D$1)</f>
        <v>253.23079764597497</v>
      </c>
      <c r="D198" s="7">
        <f t="shared" ref="D198:D261" si="34">-PPMT($D$2/12,A198,$D$3,$D$1)</f>
        <v>138.32932714358134</v>
      </c>
      <c r="E198" s="7">
        <f>SUM(C$5:C198)</f>
        <v>60341.262505386374</v>
      </c>
      <c r="F198" s="7">
        <f>SUM(D$5:D198)</f>
        <v>15621.401703787584</v>
      </c>
      <c r="G198" s="7">
        <f>$D$1-'Amort Schedule - Investor'!F198</f>
        <v>40378.598296212418</v>
      </c>
      <c r="H198" s="11">
        <f t="shared" ref="H198:H261" si="35">G198/$D$1</f>
        <v>0.72104639814665028</v>
      </c>
      <c r="J198" s="127">
        <f t="shared" si="27"/>
        <v>280</v>
      </c>
      <c r="K198" s="127">
        <f t="shared" si="28"/>
        <v>54320</v>
      </c>
      <c r="L198" s="7">
        <f t="shared" si="29"/>
        <v>111.56012478955631</v>
      </c>
      <c r="M198" s="7">
        <f t="shared" si="30"/>
        <v>21642.664209173941</v>
      </c>
      <c r="N198" s="7">
        <f t="shared" si="31"/>
        <v>-26.769202354025026</v>
      </c>
      <c r="O198" s="7">
        <f t="shared" si="32"/>
        <v>6021.2625053863512</v>
      </c>
    </row>
    <row r="199" spans="1:15" x14ac:dyDescent="0.2">
      <c r="A199">
        <f t="shared" ref="A199:A262" si="36">A198+1</f>
        <v>195</v>
      </c>
      <c r="B199" s="7">
        <f t="shared" ref="B199:B262" si="37">B198</f>
        <v>391.56012478955631</v>
      </c>
      <c r="C199" s="7">
        <f t="shared" si="33"/>
        <v>252.36623935132764</v>
      </c>
      <c r="D199" s="7">
        <f t="shared" si="34"/>
        <v>139.19388543822873</v>
      </c>
      <c r="E199" s="7">
        <f>SUM(C$5:C199)</f>
        <v>60593.628744737704</v>
      </c>
      <c r="F199" s="7">
        <f>SUM(D$5:D199)</f>
        <v>15760.595589225812</v>
      </c>
      <c r="G199" s="7">
        <f>$D$1-'Amort Schedule - Investor'!F199</f>
        <v>40239.404410774187</v>
      </c>
      <c r="H199" s="11">
        <f t="shared" si="35"/>
        <v>0.71856079304953901</v>
      </c>
      <c r="J199" s="127">
        <f t="shared" ref="J199:J262" si="38">J198</f>
        <v>280</v>
      </c>
      <c r="K199" s="127">
        <f t="shared" ref="K199:K262" si="39">J199+K198</f>
        <v>54600</v>
      </c>
      <c r="L199" s="7">
        <f t="shared" ref="L199:L262" si="40">B199-J199</f>
        <v>111.56012478955631</v>
      </c>
      <c r="M199" s="7">
        <f t="shared" ref="M199:M262" si="41">M198+L199</f>
        <v>21754.224333963499</v>
      </c>
      <c r="N199" s="7">
        <f t="shared" ref="N199:N262" si="42">C199-J199</f>
        <v>-27.633760648672364</v>
      </c>
      <c r="O199" s="7">
        <f t="shared" ref="O199:O262" si="43">O198+N199</f>
        <v>5993.628744737679</v>
      </c>
    </row>
    <row r="200" spans="1:15" x14ac:dyDescent="0.2">
      <c r="A200">
        <f t="shared" si="36"/>
        <v>196</v>
      </c>
      <c r="B200" s="7">
        <f t="shared" si="37"/>
        <v>391.56012478955631</v>
      </c>
      <c r="C200" s="7">
        <f t="shared" si="33"/>
        <v>251.49627756733864</v>
      </c>
      <c r="D200" s="7">
        <f t="shared" si="34"/>
        <v>140.06384722221765</v>
      </c>
      <c r="E200" s="7">
        <f>SUM(C$5:C200)</f>
        <v>60845.125022305045</v>
      </c>
      <c r="F200" s="7">
        <f>SUM(D$5:D200)</f>
        <v>15900.65943644803</v>
      </c>
      <c r="G200" s="7">
        <f>$D$1-'Amort Schedule - Investor'!F200</f>
        <v>40099.340563551974</v>
      </c>
      <c r="H200" s="11">
        <f t="shared" si="35"/>
        <v>0.71605965292057094</v>
      </c>
      <c r="J200" s="127">
        <f t="shared" si="38"/>
        <v>280</v>
      </c>
      <c r="K200" s="127">
        <f t="shared" si="39"/>
        <v>54880</v>
      </c>
      <c r="L200" s="7">
        <f t="shared" si="40"/>
        <v>111.56012478955631</v>
      </c>
      <c r="M200" s="7">
        <f t="shared" si="41"/>
        <v>21865.784458753056</v>
      </c>
      <c r="N200" s="7">
        <f t="shared" si="42"/>
        <v>-28.503722432661363</v>
      </c>
      <c r="O200" s="7">
        <f t="shared" si="43"/>
        <v>5965.1250223050174</v>
      </c>
    </row>
    <row r="201" spans="1:15" x14ac:dyDescent="0.2">
      <c r="A201">
        <f t="shared" si="36"/>
        <v>197</v>
      </c>
      <c r="B201" s="7">
        <f t="shared" si="37"/>
        <v>391.56012478955631</v>
      </c>
      <c r="C201" s="7">
        <f t="shared" si="33"/>
        <v>250.6208785221998</v>
      </c>
      <c r="D201" s="7">
        <f t="shared" si="34"/>
        <v>140.93924626735651</v>
      </c>
      <c r="E201" s="7">
        <f>SUM(C$5:C201)</f>
        <v>61095.745900827242</v>
      </c>
      <c r="F201" s="7">
        <f>SUM(D$5:D201)</f>
        <v>16041.598682715387</v>
      </c>
      <c r="G201" s="7">
        <f>$D$1-'Amort Schedule - Investor'!F201</f>
        <v>39958.401317284617</v>
      </c>
      <c r="H201" s="11">
        <f t="shared" si="35"/>
        <v>0.71354288066579674</v>
      </c>
      <c r="J201" s="127">
        <f t="shared" si="38"/>
        <v>280</v>
      </c>
      <c r="K201" s="127">
        <f t="shared" si="39"/>
        <v>55160</v>
      </c>
      <c r="L201" s="7">
        <f t="shared" si="40"/>
        <v>111.56012478955631</v>
      </c>
      <c r="M201" s="7">
        <f t="shared" si="41"/>
        <v>21977.344583542614</v>
      </c>
      <c r="N201" s="7">
        <f t="shared" si="42"/>
        <v>-29.379121477800197</v>
      </c>
      <c r="O201" s="7">
        <f t="shared" si="43"/>
        <v>5935.7459008272172</v>
      </c>
    </row>
    <row r="202" spans="1:15" x14ac:dyDescent="0.2">
      <c r="A202">
        <f t="shared" si="36"/>
        <v>198</v>
      </c>
      <c r="B202" s="7">
        <f t="shared" si="37"/>
        <v>391.56012478955631</v>
      </c>
      <c r="C202" s="7">
        <f t="shared" si="33"/>
        <v>249.74000823302885</v>
      </c>
      <c r="D202" s="7">
        <f t="shared" si="34"/>
        <v>141.82011655652749</v>
      </c>
      <c r="E202" s="7">
        <f>SUM(C$5:C202)</f>
        <v>61345.485909060269</v>
      </c>
      <c r="F202" s="7">
        <f>SUM(D$5:D202)</f>
        <v>16183.418799271914</v>
      </c>
      <c r="G202" s="7">
        <f>$D$1-'Amort Schedule - Investor'!F202</f>
        <v>39816.581200728084</v>
      </c>
      <c r="H202" s="11">
        <f t="shared" si="35"/>
        <v>0.71101037858443006</v>
      </c>
      <c r="J202" s="127">
        <f t="shared" si="38"/>
        <v>280</v>
      </c>
      <c r="K202" s="127">
        <f t="shared" si="39"/>
        <v>55440</v>
      </c>
      <c r="L202" s="7">
        <f t="shared" si="40"/>
        <v>111.56012478955631</v>
      </c>
      <c r="M202" s="7">
        <f t="shared" si="41"/>
        <v>22088.904708332171</v>
      </c>
      <c r="N202" s="7">
        <f t="shared" si="42"/>
        <v>-30.259991766971154</v>
      </c>
      <c r="O202" s="7">
        <f t="shared" si="43"/>
        <v>5905.4859090602458</v>
      </c>
    </row>
    <row r="203" spans="1:15" x14ac:dyDescent="0.2">
      <c r="A203">
        <f t="shared" si="36"/>
        <v>199</v>
      </c>
      <c r="B203" s="7">
        <f t="shared" si="37"/>
        <v>391.56012478955631</v>
      </c>
      <c r="C203" s="7">
        <f t="shared" si="33"/>
        <v>248.85363250455055</v>
      </c>
      <c r="D203" s="7">
        <f t="shared" si="34"/>
        <v>142.70649228500577</v>
      </c>
      <c r="E203" s="7">
        <f>SUM(C$5:C203)</f>
        <v>61594.339541564819</v>
      </c>
      <c r="F203" s="7">
        <f>SUM(D$5:D203)</f>
        <v>16326.12529155692</v>
      </c>
      <c r="G203" s="7">
        <f>$D$1-'Amort Schedule - Investor'!F203</f>
        <v>39673.87470844308</v>
      </c>
      <c r="H203" s="11">
        <f t="shared" si="35"/>
        <v>0.708462048365055</v>
      </c>
      <c r="J203" s="127">
        <f t="shared" si="38"/>
        <v>280</v>
      </c>
      <c r="K203" s="127">
        <f t="shared" si="39"/>
        <v>55720</v>
      </c>
      <c r="L203" s="7">
        <f t="shared" si="40"/>
        <v>111.56012478955631</v>
      </c>
      <c r="M203" s="7">
        <f t="shared" si="41"/>
        <v>22200.464833121729</v>
      </c>
      <c r="N203" s="7">
        <f t="shared" si="42"/>
        <v>-31.146367495449454</v>
      </c>
      <c r="O203" s="7">
        <f t="shared" si="43"/>
        <v>5874.3395415647965</v>
      </c>
    </row>
    <row r="204" spans="1:15" x14ac:dyDescent="0.2">
      <c r="A204">
        <f t="shared" si="36"/>
        <v>200</v>
      </c>
      <c r="B204" s="7">
        <f t="shared" si="37"/>
        <v>391.56012478955631</v>
      </c>
      <c r="C204" s="7">
        <f t="shared" si="33"/>
        <v>247.96171692776923</v>
      </c>
      <c r="D204" s="7">
        <f t="shared" si="34"/>
        <v>143.59840786178708</v>
      </c>
      <c r="E204" s="7">
        <f>SUM(C$5:C204)</f>
        <v>61842.301258492589</v>
      </c>
      <c r="F204" s="7">
        <f>SUM(D$5:D204)</f>
        <v>16469.723699418708</v>
      </c>
      <c r="G204" s="7">
        <f>$D$1-'Amort Schedule - Investor'!F204</f>
        <v>39530.276300581289</v>
      </c>
      <c r="H204" s="11">
        <f t="shared" si="35"/>
        <v>0.70589779108180872</v>
      </c>
      <c r="J204" s="127">
        <f t="shared" si="38"/>
        <v>280</v>
      </c>
      <c r="K204" s="127">
        <f t="shared" si="39"/>
        <v>56000</v>
      </c>
      <c r="L204" s="7">
        <f t="shared" si="40"/>
        <v>111.56012478955631</v>
      </c>
      <c r="M204" s="7">
        <f t="shared" si="41"/>
        <v>22312.024957911286</v>
      </c>
      <c r="N204" s="7">
        <f t="shared" si="42"/>
        <v>-32.038283072230769</v>
      </c>
      <c r="O204" s="7">
        <f t="shared" si="43"/>
        <v>5842.3012584925655</v>
      </c>
    </row>
    <row r="205" spans="1:15" x14ac:dyDescent="0.2">
      <c r="A205">
        <f t="shared" si="36"/>
        <v>201</v>
      </c>
      <c r="B205" s="7">
        <f t="shared" si="37"/>
        <v>391.56012478955631</v>
      </c>
      <c r="C205" s="7">
        <f t="shared" si="33"/>
        <v>247.06422687863312</v>
      </c>
      <c r="D205" s="7">
        <f t="shared" si="34"/>
        <v>144.49589791092325</v>
      </c>
      <c r="E205" s="7">
        <f>SUM(C$5:C205)</f>
        <v>62089.365485371221</v>
      </c>
      <c r="F205" s="7">
        <f>SUM(D$5:D205)</f>
        <v>16614.219597329629</v>
      </c>
      <c r="G205" s="7">
        <f>$D$1-'Amort Schedule - Investor'!F205</f>
        <v>39385.780402670367</v>
      </c>
      <c r="H205" s="11">
        <f t="shared" si="35"/>
        <v>0.70331750719054231</v>
      </c>
      <c r="J205" s="127">
        <f t="shared" si="38"/>
        <v>280</v>
      </c>
      <c r="K205" s="127">
        <f t="shared" si="39"/>
        <v>56280</v>
      </c>
      <c r="L205" s="7">
        <f t="shared" si="40"/>
        <v>111.56012478955631</v>
      </c>
      <c r="M205" s="7">
        <f t="shared" si="41"/>
        <v>22423.585082700843</v>
      </c>
      <c r="N205" s="7">
        <f t="shared" si="42"/>
        <v>-32.935773121366879</v>
      </c>
      <c r="O205" s="7">
        <f t="shared" si="43"/>
        <v>5809.3654853711987</v>
      </c>
    </row>
    <row r="206" spans="1:15" x14ac:dyDescent="0.2">
      <c r="A206">
        <f t="shared" si="36"/>
        <v>202</v>
      </c>
      <c r="B206" s="7">
        <f t="shared" si="37"/>
        <v>391.56012478955631</v>
      </c>
      <c r="C206" s="7">
        <f t="shared" si="33"/>
        <v>246.16112751668976</v>
      </c>
      <c r="D206" s="7">
        <f t="shared" si="34"/>
        <v>145.3989972728665</v>
      </c>
      <c r="E206" s="7">
        <f>SUM(C$5:C206)</f>
        <v>62335.526612887908</v>
      </c>
      <c r="F206" s="7">
        <f>SUM(D$5:D206)</f>
        <v>16759.618594602496</v>
      </c>
      <c r="G206" s="7">
        <f>$D$1-'Amort Schedule - Investor'!F206</f>
        <v>39240.381405397507</v>
      </c>
      <c r="H206" s="11">
        <f t="shared" si="35"/>
        <v>0.70072109652495551</v>
      </c>
      <c r="J206" s="127">
        <f t="shared" si="38"/>
        <v>280</v>
      </c>
      <c r="K206" s="127">
        <f t="shared" si="39"/>
        <v>56560</v>
      </c>
      <c r="L206" s="7">
        <f t="shared" si="40"/>
        <v>111.56012478955631</v>
      </c>
      <c r="M206" s="7">
        <f t="shared" si="41"/>
        <v>22535.145207490401</v>
      </c>
      <c r="N206" s="7">
        <f t="shared" si="42"/>
        <v>-33.83887248331024</v>
      </c>
      <c r="O206" s="7">
        <f t="shared" si="43"/>
        <v>5775.5266128878884</v>
      </c>
    </row>
    <row r="207" spans="1:15" x14ac:dyDescent="0.2">
      <c r="A207">
        <f t="shared" si="36"/>
        <v>203</v>
      </c>
      <c r="B207" s="7">
        <f t="shared" si="37"/>
        <v>391.56012478955631</v>
      </c>
      <c r="C207" s="7">
        <f t="shared" si="33"/>
        <v>245.25238378373436</v>
      </c>
      <c r="D207" s="7">
        <f t="shared" si="34"/>
        <v>146.30774100582195</v>
      </c>
      <c r="E207" s="7">
        <f>SUM(C$5:C207)</f>
        <v>62580.778996671645</v>
      </c>
      <c r="F207" s="7">
        <f>SUM(D$5:D207)</f>
        <v>16905.926335608317</v>
      </c>
      <c r="G207" s="7">
        <f>$D$1-'Amort Schedule - Investor'!F207</f>
        <v>39094.073664391683</v>
      </c>
      <c r="H207" s="11">
        <f t="shared" si="35"/>
        <v>0.69810845829270862</v>
      </c>
      <c r="J207" s="127">
        <f t="shared" si="38"/>
        <v>280</v>
      </c>
      <c r="K207" s="127">
        <f t="shared" si="39"/>
        <v>56840</v>
      </c>
      <c r="L207" s="7">
        <f t="shared" si="40"/>
        <v>111.56012478955631</v>
      </c>
      <c r="M207" s="7">
        <f t="shared" si="41"/>
        <v>22646.705332279958</v>
      </c>
      <c r="N207" s="7">
        <f t="shared" si="42"/>
        <v>-34.747616216265641</v>
      </c>
      <c r="O207" s="7">
        <f t="shared" si="43"/>
        <v>5740.7789966716227</v>
      </c>
    </row>
    <row r="208" spans="1:15" s="6" customFormat="1" x14ac:dyDescent="0.2">
      <c r="A208" s="6">
        <f t="shared" si="36"/>
        <v>204</v>
      </c>
      <c r="B208" s="128">
        <f t="shared" si="37"/>
        <v>391.56012478955631</v>
      </c>
      <c r="C208" s="128">
        <f t="shared" si="33"/>
        <v>244.33796040244803</v>
      </c>
      <c r="D208" s="128">
        <f t="shared" si="34"/>
        <v>147.22216438710831</v>
      </c>
      <c r="E208" s="128">
        <f>SUM(C$5:C208)</f>
        <v>62825.116957074089</v>
      </c>
      <c r="F208" s="128">
        <f>SUM(D$5:D208)</f>
        <v>17053.148499995426</v>
      </c>
      <c r="G208" s="128">
        <f>$D$1-'Amort Schedule - Investor'!F208</f>
        <v>38946.851500004574</v>
      </c>
      <c r="H208" s="124">
        <f t="shared" si="35"/>
        <v>0.69547949107151019</v>
      </c>
      <c r="J208" s="127">
        <f t="shared" si="38"/>
        <v>280</v>
      </c>
      <c r="K208" s="127">
        <f t="shared" si="39"/>
        <v>57120</v>
      </c>
      <c r="L208" s="7">
        <f t="shared" si="40"/>
        <v>111.56012478955631</v>
      </c>
      <c r="M208" s="7">
        <f t="shared" si="41"/>
        <v>22758.265457069516</v>
      </c>
      <c r="N208" s="7">
        <f t="shared" si="42"/>
        <v>-35.662039597551967</v>
      </c>
      <c r="O208" s="7">
        <f t="shared" si="43"/>
        <v>5705.1169570740703</v>
      </c>
    </row>
    <row r="209" spans="1:15" x14ac:dyDescent="0.2">
      <c r="A209">
        <f t="shared" si="36"/>
        <v>205</v>
      </c>
      <c r="B209" s="7">
        <f t="shared" si="37"/>
        <v>391.56012478955631</v>
      </c>
      <c r="C209" s="7">
        <f t="shared" si="33"/>
        <v>243.41782187502855</v>
      </c>
      <c r="D209" s="7">
        <f t="shared" si="34"/>
        <v>148.14230291452773</v>
      </c>
      <c r="E209" s="7">
        <f>SUM(C$5:C209)</f>
        <v>63068.534778949121</v>
      </c>
      <c r="F209" s="7">
        <f>SUM(D$5:D209)</f>
        <v>17201.290802909953</v>
      </c>
      <c r="G209" s="7">
        <f>$D$1-'Amort Schedule - Investor'!F209</f>
        <v>38798.709197090051</v>
      </c>
      <c r="H209" s="11">
        <f t="shared" si="35"/>
        <v>0.69283409280517949</v>
      </c>
      <c r="J209" s="127">
        <f t="shared" si="38"/>
        <v>280</v>
      </c>
      <c r="K209" s="127">
        <f t="shared" si="39"/>
        <v>57400</v>
      </c>
      <c r="L209" s="7">
        <f t="shared" si="40"/>
        <v>111.56012478955631</v>
      </c>
      <c r="M209" s="7">
        <f t="shared" si="41"/>
        <v>22869.825581859073</v>
      </c>
      <c r="N209" s="7">
        <f t="shared" si="42"/>
        <v>-36.582178124971449</v>
      </c>
      <c r="O209" s="7">
        <f t="shared" si="43"/>
        <v>5668.5347789490988</v>
      </c>
    </row>
    <row r="210" spans="1:15" x14ac:dyDescent="0.2">
      <c r="A210">
        <f t="shared" si="36"/>
        <v>206</v>
      </c>
      <c r="B210" s="7">
        <f t="shared" si="37"/>
        <v>391.56012478955631</v>
      </c>
      <c r="C210" s="7">
        <f t="shared" si="33"/>
        <v>242.4919324818128</v>
      </c>
      <c r="D210" s="7">
        <f t="shared" si="34"/>
        <v>149.06819230774354</v>
      </c>
      <c r="E210" s="7">
        <f>SUM(C$5:C210)</f>
        <v>63311.026711430932</v>
      </c>
      <c r="F210" s="7">
        <f>SUM(D$5:D210)</f>
        <v>17350.358995217695</v>
      </c>
      <c r="G210" s="7">
        <f>$D$1-'Amort Schedule - Investor'!F210</f>
        <v>38649.641004782301</v>
      </c>
      <c r="H210" s="11">
        <f t="shared" si="35"/>
        <v>0.69017216079968391</v>
      </c>
      <c r="J210" s="127">
        <f t="shared" si="38"/>
        <v>280</v>
      </c>
      <c r="K210" s="127">
        <f t="shared" si="39"/>
        <v>57680</v>
      </c>
      <c r="L210" s="7">
        <f t="shared" si="40"/>
        <v>111.56012478955631</v>
      </c>
      <c r="M210" s="7">
        <f t="shared" si="41"/>
        <v>22981.385706648631</v>
      </c>
      <c r="N210" s="7">
        <f t="shared" si="42"/>
        <v>-37.508067518187204</v>
      </c>
      <c r="O210" s="7">
        <f t="shared" si="43"/>
        <v>5631.0267114309117</v>
      </c>
    </row>
    <row r="211" spans="1:15" x14ac:dyDescent="0.2">
      <c r="A211">
        <f t="shared" si="36"/>
        <v>207</v>
      </c>
      <c r="B211" s="7">
        <f t="shared" si="37"/>
        <v>391.56012478955631</v>
      </c>
      <c r="C211" s="7">
        <f t="shared" si="33"/>
        <v>241.56025627988942</v>
      </c>
      <c r="D211" s="7">
        <f t="shared" si="34"/>
        <v>149.99986850966695</v>
      </c>
      <c r="E211" s="7">
        <f>SUM(C$5:C211)</f>
        <v>63552.58696771082</v>
      </c>
      <c r="F211" s="7">
        <f>SUM(D$5:D211)</f>
        <v>17500.358863727361</v>
      </c>
      <c r="G211" s="7">
        <f>$D$1-'Amort Schedule - Investor'!F211</f>
        <v>38499.641136272636</v>
      </c>
      <c r="H211" s="11">
        <f t="shared" si="35"/>
        <v>0.68749359171915425</v>
      </c>
      <c r="J211" s="127">
        <f t="shared" si="38"/>
        <v>280</v>
      </c>
      <c r="K211" s="127">
        <f t="shared" si="39"/>
        <v>57960</v>
      </c>
      <c r="L211" s="7">
        <f t="shared" si="40"/>
        <v>111.56012478955631</v>
      </c>
      <c r="M211" s="7">
        <f t="shared" si="41"/>
        <v>23092.945831438188</v>
      </c>
      <c r="N211" s="7">
        <f t="shared" si="42"/>
        <v>-38.439743720110584</v>
      </c>
      <c r="O211" s="7">
        <f t="shared" si="43"/>
        <v>5592.5869677108012</v>
      </c>
    </row>
    <row r="212" spans="1:15" x14ac:dyDescent="0.2">
      <c r="A212">
        <f t="shared" si="36"/>
        <v>208</v>
      </c>
      <c r="B212" s="7">
        <f t="shared" si="37"/>
        <v>391.56012478955631</v>
      </c>
      <c r="C212" s="7">
        <f t="shared" si="33"/>
        <v>240.622757101704</v>
      </c>
      <c r="D212" s="7">
        <f t="shared" si="34"/>
        <v>150.93736768785237</v>
      </c>
      <c r="E212" s="7">
        <f>SUM(C$5:C212)</f>
        <v>63793.209724812521</v>
      </c>
      <c r="F212" s="7">
        <f>SUM(D$5:D212)</f>
        <v>17651.296231415214</v>
      </c>
      <c r="G212" s="7">
        <f>$D$1-'Amort Schedule - Investor'!F212</f>
        <v>38348.70376858479</v>
      </c>
      <c r="H212" s="11">
        <f t="shared" si="35"/>
        <v>0.68479828158187128</v>
      </c>
      <c r="J212" s="127">
        <f t="shared" si="38"/>
        <v>280</v>
      </c>
      <c r="K212" s="127">
        <f t="shared" si="39"/>
        <v>58240</v>
      </c>
      <c r="L212" s="7">
        <f t="shared" si="40"/>
        <v>111.56012478955631</v>
      </c>
      <c r="M212" s="7">
        <f t="shared" si="41"/>
        <v>23204.505956227746</v>
      </c>
      <c r="N212" s="7">
        <f t="shared" si="42"/>
        <v>-39.377242898296004</v>
      </c>
      <c r="O212" s="7">
        <f t="shared" si="43"/>
        <v>5553.2097248125056</v>
      </c>
    </row>
    <row r="213" spans="1:15" x14ac:dyDescent="0.2">
      <c r="A213">
        <f t="shared" si="36"/>
        <v>209</v>
      </c>
      <c r="B213" s="7">
        <f t="shared" si="37"/>
        <v>391.56012478955631</v>
      </c>
      <c r="C213" s="7">
        <f t="shared" si="33"/>
        <v>239.67939855365483</v>
      </c>
      <c r="D213" s="7">
        <f t="shared" si="34"/>
        <v>151.88072623590142</v>
      </c>
      <c r="E213" s="7">
        <f>SUM(C$5:C213)</f>
        <v>64032.889123366178</v>
      </c>
      <c r="F213" s="7">
        <f>SUM(D$5:D213)</f>
        <v>17803.176957651114</v>
      </c>
      <c r="G213" s="7">
        <f>$D$1-'Amort Schedule - Investor'!F213</f>
        <v>38196.823042348886</v>
      </c>
      <c r="H213" s="11">
        <f t="shared" si="35"/>
        <v>0.68208612575623007</v>
      </c>
      <c r="J213" s="127">
        <f t="shared" si="38"/>
        <v>280</v>
      </c>
      <c r="K213" s="127">
        <f t="shared" si="39"/>
        <v>58520</v>
      </c>
      <c r="L213" s="7">
        <f t="shared" si="40"/>
        <v>111.56012478955631</v>
      </c>
      <c r="M213" s="7">
        <f t="shared" si="41"/>
        <v>23316.066081017303</v>
      </c>
      <c r="N213" s="7">
        <f t="shared" si="42"/>
        <v>-40.320601446345165</v>
      </c>
      <c r="O213" s="7">
        <f t="shared" si="43"/>
        <v>5512.8891233661607</v>
      </c>
    </row>
    <row r="214" spans="1:15" x14ac:dyDescent="0.2">
      <c r="A214">
        <f t="shared" si="36"/>
        <v>210</v>
      </c>
      <c r="B214" s="7">
        <f t="shared" si="37"/>
        <v>391.56012478955631</v>
      </c>
      <c r="C214" s="7">
        <f t="shared" si="33"/>
        <v>238.73014401468046</v>
      </c>
      <c r="D214" s="7">
        <f t="shared" si="34"/>
        <v>152.82998077487582</v>
      </c>
      <c r="E214" s="7">
        <f>SUM(C$5:C214)</f>
        <v>64271.619267380862</v>
      </c>
      <c r="F214" s="7">
        <f>SUM(D$5:D214)</f>
        <v>17956.006938425991</v>
      </c>
      <c r="G214" s="7">
        <f>$D$1-'Amort Schedule - Investor'!F214</f>
        <v>38043.993061574009</v>
      </c>
      <c r="H214" s="11">
        <f t="shared" si="35"/>
        <v>0.67935701895667877</v>
      </c>
      <c r="J214" s="127">
        <f t="shared" si="38"/>
        <v>280</v>
      </c>
      <c r="K214" s="127">
        <f t="shared" si="39"/>
        <v>58800</v>
      </c>
      <c r="L214" s="7">
        <f t="shared" si="40"/>
        <v>111.56012478955631</v>
      </c>
      <c r="M214" s="7">
        <f t="shared" si="41"/>
        <v>23427.626205806861</v>
      </c>
      <c r="N214" s="7">
        <f t="shared" si="42"/>
        <v>-41.269855985319538</v>
      </c>
      <c r="O214" s="7">
        <f t="shared" si="43"/>
        <v>5471.6192673808409</v>
      </c>
    </row>
    <row r="215" spans="1:15" x14ac:dyDescent="0.2">
      <c r="A215">
        <f t="shared" si="36"/>
        <v>211</v>
      </c>
      <c r="B215" s="7">
        <f t="shared" si="37"/>
        <v>391.56012478955631</v>
      </c>
      <c r="C215" s="7">
        <f t="shared" si="33"/>
        <v>237.77495663483748</v>
      </c>
      <c r="D215" s="7">
        <f t="shared" si="34"/>
        <v>153.7851681547188</v>
      </c>
      <c r="E215" s="7">
        <f>SUM(C$5:C215)</f>
        <v>64509.394224015698</v>
      </c>
      <c r="F215" s="7">
        <f>SUM(D$5:D215)</f>
        <v>18109.79210658071</v>
      </c>
      <c r="G215" s="7">
        <f>$D$1-'Amort Schedule - Investor'!F215</f>
        <v>37890.20789341929</v>
      </c>
      <c r="H215" s="11">
        <f t="shared" si="35"/>
        <v>0.67661085523963016</v>
      </c>
      <c r="J215" s="127">
        <f t="shared" si="38"/>
        <v>280</v>
      </c>
      <c r="K215" s="127">
        <f t="shared" si="39"/>
        <v>59080</v>
      </c>
      <c r="L215" s="7">
        <f t="shared" si="40"/>
        <v>111.56012478955631</v>
      </c>
      <c r="M215" s="7">
        <f t="shared" si="41"/>
        <v>23539.186330596418</v>
      </c>
      <c r="N215" s="7">
        <f t="shared" si="42"/>
        <v>-42.22504336516252</v>
      </c>
      <c r="O215" s="7">
        <f t="shared" si="43"/>
        <v>5429.3942240156784</v>
      </c>
    </row>
    <row r="216" spans="1:15" x14ac:dyDescent="0.2">
      <c r="A216">
        <f t="shared" si="36"/>
        <v>212</v>
      </c>
      <c r="B216" s="7">
        <f t="shared" si="37"/>
        <v>391.56012478955631</v>
      </c>
      <c r="C216" s="7">
        <f t="shared" si="33"/>
        <v>236.81379933387055</v>
      </c>
      <c r="D216" s="7">
        <f t="shared" si="34"/>
        <v>154.74632545568579</v>
      </c>
      <c r="E216" s="7">
        <f>SUM(C$5:C216)</f>
        <v>64746.208023349565</v>
      </c>
      <c r="F216" s="7">
        <f>SUM(D$5:D216)</f>
        <v>18264.538432036396</v>
      </c>
      <c r="G216" s="7">
        <f>$D$1-'Amort Schedule - Investor'!F216</f>
        <v>37735.461567963604</v>
      </c>
      <c r="H216" s="11">
        <f t="shared" si="35"/>
        <v>0.6738475279993501</v>
      </c>
      <c r="J216" s="127">
        <f t="shared" si="38"/>
        <v>280</v>
      </c>
      <c r="K216" s="127">
        <f t="shared" si="39"/>
        <v>59360</v>
      </c>
      <c r="L216" s="7">
        <f t="shared" si="40"/>
        <v>111.56012478955631</v>
      </c>
      <c r="M216" s="7">
        <f t="shared" si="41"/>
        <v>23650.746455385975</v>
      </c>
      <c r="N216" s="7">
        <f t="shared" si="42"/>
        <v>-43.186200666129452</v>
      </c>
      <c r="O216" s="7">
        <f t="shared" si="43"/>
        <v>5386.208023349549</v>
      </c>
    </row>
    <row r="217" spans="1:15" x14ac:dyDescent="0.2">
      <c r="A217">
        <f t="shared" si="36"/>
        <v>213</v>
      </c>
      <c r="B217" s="7">
        <f t="shared" si="37"/>
        <v>391.56012478955631</v>
      </c>
      <c r="C217" s="7">
        <f t="shared" si="33"/>
        <v>235.84663479977254</v>
      </c>
      <c r="D217" s="7">
        <f t="shared" si="34"/>
        <v>155.71348998978385</v>
      </c>
      <c r="E217" s="7">
        <f>SUM(C$5:C217)</f>
        <v>64982.05465814934</v>
      </c>
      <c r="F217" s="7">
        <f>SUM(D$5:D217)</f>
        <v>18420.251922026178</v>
      </c>
      <c r="G217" s="7">
        <f>$D$1-'Amort Schedule - Investor'!F217</f>
        <v>37579.748077973825</v>
      </c>
      <c r="H217" s="11">
        <f t="shared" si="35"/>
        <v>0.67106692996381834</v>
      </c>
      <c r="J217" s="127">
        <f t="shared" si="38"/>
        <v>280</v>
      </c>
      <c r="K217" s="127">
        <f t="shared" si="39"/>
        <v>59640</v>
      </c>
      <c r="L217" s="7">
        <f t="shared" si="40"/>
        <v>111.56012478955631</v>
      </c>
      <c r="M217" s="7">
        <f t="shared" si="41"/>
        <v>23762.306580175533</v>
      </c>
      <c r="N217" s="7">
        <f t="shared" si="42"/>
        <v>-44.153365200227455</v>
      </c>
      <c r="O217" s="7">
        <f t="shared" si="43"/>
        <v>5342.0546581493218</v>
      </c>
    </row>
    <row r="218" spans="1:15" x14ac:dyDescent="0.2">
      <c r="A218">
        <f t="shared" si="36"/>
        <v>214</v>
      </c>
      <c r="B218" s="7">
        <f t="shared" si="37"/>
        <v>391.56012478955631</v>
      </c>
      <c r="C218" s="7">
        <f t="shared" si="33"/>
        <v>234.87342548733633</v>
      </c>
      <c r="D218" s="7">
        <f t="shared" si="34"/>
        <v>156.68669930221995</v>
      </c>
      <c r="E218" s="7">
        <f>SUM(C$5:C218)</f>
        <v>65216.928083636674</v>
      </c>
      <c r="F218" s="7">
        <f>SUM(D$5:D218)</f>
        <v>18576.938621328398</v>
      </c>
      <c r="G218" s="7">
        <f>$D$1-'Amort Schedule - Investor'!F218</f>
        <v>37423.061378671599</v>
      </c>
      <c r="H218" s="11">
        <f t="shared" si="35"/>
        <v>0.66826895319056423</v>
      </c>
      <c r="J218" s="127">
        <f t="shared" si="38"/>
        <v>280</v>
      </c>
      <c r="K218" s="127">
        <f t="shared" si="39"/>
        <v>59920</v>
      </c>
      <c r="L218" s="7">
        <f t="shared" si="40"/>
        <v>111.56012478955631</v>
      </c>
      <c r="M218" s="7">
        <f t="shared" si="41"/>
        <v>23873.86670496509</v>
      </c>
      <c r="N218" s="7">
        <f t="shared" si="42"/>
        <v>-45.126574512663666</v>
      </c>
      <c r="O218" s="7">
        <f t="shared" si="43"/>
        <v>5296.9280836366579</v>
      </c>
    </row>
    <row r="219" spans="1:15" x14ac:dyDescent="0.2">
      <c r="A219">
        <f t="shared" si="36"/>
        <v>215</v>
      </c>
      <c r="B219" s="7">
        <f t="shared" si="37"/>
        <v>391.56012478955631</v>
      </c>
      <c r="C219" s="7">
        <f t="shared" si="33"/>
        <v>233.89413361669753</v>
      </c>
      <c r="D219" s="7">
        <f t="shared" si="34"/>
        <v>157.66599117285887</v>
      </c>
      <c r="E219" s="7">
        <f>SUM(C$5:C219)</f>
        <v>65450.822217253371</v>
      </c>
      <c r="F219" s="7">
        <f>SUM(D$5:D219)</f>
        <v>18734.604612501258</v>
      </c>
      <c r="G219" s="7">
        <f>$D$1-'Amort Schedule - Investor'!F219</f>
        <v>37265.395387498742</v>
      </c>
      <c r="H219" s="11">
        <f t="shared" si="35"/>
        <v>0.66545348906247759</v>
      </c>
      <c r="J219" s="127">
        <f t="shared" si="38"/>
        <v>280</v>
      </c>
      <c r="K219" s="127">
        <f t="shared" si="39"/>
        <v>60200</v>
      </c>
      <c r="L219" s="7">
        <f t="shared" si="40"/>
        <v>111.56012478955631</v>
      </c>
      <c r="M219" s="7">
        <f t="shared" si="41"/>
        <v>23985.426829754648</v>
      </c>
      <c r="N219" s="7">
        <f t="shared" si="42"/>
        <v>-46.10586638330247</v>
      </c>
      <c r="O219" s="7">
        <f t="shared" si="43"/>
        <v>5250.8222172533551</v>
      </c>
    </row>
    <row r="220" spans="1:15" s="6" customFormat="1" x14ac:dyDescent="0.2">
      <c r="A220" s="6">
        <f t="shared" si="36"/>
        <v>216</v>
      </c>
      <c r="B220" s="128">
        <f t="shared" si="37"/>
        <v>391.56012478955631</v>
      </c>
      <c r="C220" s="128">
        <f t="shared" si="33"/>
        <v>232.90872117186717</v>
      </c>
      <c r="D220" s="128">
        <f t="shared" si="34"/>
        <v>158.6514036176892</v>
      </c>
      <c r="E220" s="128">
        <f>SUM(C$5:C220)</f>
        <v>65683.730938425244</v>
      </c>
      <c r="F220" s="128">
        <f>SUM(D$5:D220)</f>
        <v>18893.256016118947</v>
      </c>
      <c r="G220" s="128">
        <f>$D$1-'Amort Schedule - Investor'!F220</f>
        <v>37106.743983881053</v>
      </c>
      <c r="H220" s="124">
        <f t="shared" si="35"/>
        <v>0.66262042828359025</v>
      </c>
      <c r="J220" s="127">
        <f t="shared" si="38"/>
        <v>280</v>
      </c>
      <c r="K220" s="127">
        <f t="shared" si="39"/>
        <v>60480</v>
      </c>
      <c r="L220" s="7">
        <f t="shared" si="40"/>
        <v>111.56012478955631</v>
      </c>
      <c r="M220" s="7">
        <f t="shared" si="41"/>
        <v>24096.986954544205</v>
      </c>
      <c r="N220" s="7">
        <f t="shared" si="42"/>
        <v>-47.091278828132829</v>
      </c>
      <c r="O220" s="7">
        <f t="shared" si="43"/>
        <v>5203.7309384252221</v>
      </c>
    </row>
    <row r="221" spans="1:15" x14ac:dyDescent="0.2">
      <c r="A221">
        <f t="shared" si="36"/>
        <v>217</v>
      </c>
      <c r="B221" s="7">
        <f t="shared" si="37"/>
        <v>391.56012478955631</v>
      </c>
      <c r="C221" s="7">
        <f t="shared" si="33"/>
        <v>231.9171498992566</v>
      </c>
      <c r="D221" s="7">
        <f t="shared" si="34"/>
        <v>159.64297489029977</v>
      </c>
      <c r="E221" s="7">
        <f>SUM(C$5:C221)</f>
        <v>65915.648088324495</v>
      </c>
      <c r="F221" s="7">
        <f>SUM(D$5:D221)</f>
        <v>19052.898991009246</v>
      </c>
      <c r="G221" s="7">
        <f>$D$1-'Amort Schedule - Investor'!F221</f>
        <v>36947.10100899075</v>
      </c>
      <c r="H221" s="11">
        <f t="shared" si="35"/>
        <v>0.6597696608748348</v>
      </c>
      <c r="J221" s="127">
        <f t="shared" si="38"/>
        <v>280</v>
      </c>
      <c r="K221" s="127">
        <f t="shared" si="39"/>
        <v>60760</v>
      </c>
      <c r="L221" s="7">
        <f t="shared" si="40"/>
        <v>111.56012478955631</v>
      </c>
      <c r="M221" s="7">
        <f t="shared" si="41"/>
        <v>24208.547079333763</v>
      </c>
      <c r="N221" s="7">
        <f t="shared" si="42"/>
        <v>-48.0828501007434</v>
      </c>
      <c r="O221" s="7">
        <f t="shared" si="43"/>
        <v>5155.6480883244785</v>
      </c>
    </row>
    <row r="222" spans="1:15" x14ac:dyDescent="0.2">
      <c r="A222">
        <f t="shared" si="36"/>
        <v>218</v>
      </c>
      <c r="B222" s="7">
        <f t="shared" si="37"/>
        <v>391.56012478955631</v>
      </c>
      <c r="C222" s="7">
        <f t="shared" si="33"/>
        <v>230.91938130619218</v>
      </c>
      <c r="D222" s="7">
        <f t="shared" si="34"/>
        <v>160.64074348336413</v>
      </c>
      <c r="E222" s="7">
        <f>SUM(C$5:C222)</f>
        <v>66146.567469630681</v>
      </c>
      <c r="F222" s="7">
        <f>SUM(D$5:D222)</f>
        <v>19213.53973449261</v>
      </c>
      <c r="G222" s="7">
        <f>$D$1-'Amort Schedule - Investor'!F222</f>
        <v>36786.46026550739</v>
      </c>
      <c r="H222" s="11">
        <f t="shared" si="35"/>
        <v>0.65690107616977478</v>
      </c>
      <c r="J222" s="127">
        <f t="shared" si="38"/>
        <v>280</v>
      </c>
      <c r="K222" s="127">
        <f t="shared" si="39"/>
        <v>61040</v>
      </c>
      <c r="L222" s="7">
        <f t="shared" si="40"/>
        <v>111.56012478955631</v>
      </c>
      <c r="M222" s="7">
        <f t="shared" si="41"/>
        <v>24320.10720412332</v>
      </c>
      <c r="N222" s="7">
        <f t="shared" si="42"/>
        <v>-49.080618693807821</v>
      </c>
      <c r="O222" s="7">
        <f t="shared" si="43"/>
        <v>5106.5674696306705</v>
      </c>
    </row>
    <row r="223" spans="1:15" x14ac:dyDescent="0.2">
      <c r="A223">
        <f t="shared" si="36"/>
        <v>219</v>
      </c>
      <c r="B223" s="7">
        <f t="shared" si="37"/>
        <v>391.56012478955631</v>
      </c>
      <c r="C223" s="7">
        <f t="shared" si="33"/>
        <v>229.91537665942113</v>
      </c>
      <c r="D223" s="7">
        <f t="shared" si="34"/>
        <v>161.64474813013518</v>
      </c>
      <c r="E223" s="7">
        <f>SUM(C$5:C223)</f>
        <v>66376.482846290106</v>
      </c>
      <c r="F223" s="7">
        <f>SUM(D$5:D223)</f>
        <v>19375.184482622746</v>
      </c>
      <c r="G223" s="7">
        <f>$D$1-'Amort Schedule - Investor'!F223</f>
        <v>36624.815517377254</v>
      </c>
      <c r="H223" s="11">
        <f t="shared" si="35"/>
        <v>0.65401456281030812</v>
      </c>
      <c r="J223" s="127">
        <f t="shared" si="38"/>
        <v>280</v>
      </c>
      <c r="K223" s="127">
        <f t="shared" si="39"/>
        <v>61320</v>
      </c>
      <c r="L223" s="7">
        <f t="shared" si="40"/>
        <v>111.56012478955631</v>
      </c>
      <c r="M223" s="7">
        <f t="shared" si="41"/>
        <v>24431.667328912878</v>
      </c>
      <c r="N223" s="7">
        <f t="shared" si="42"/>
        <v>-50.084623340578872</v>
      </c>
      <c r="O223" s="7">
        <f t="shared" si="43"/>
        <v>5056.4828462900914</v>
      </c>
    </row>
    <row r="224" spans="1:15" x14ac:dyDescent="0.2">
      <c r="A224">
        <f t="shared" si="36"/>
        <v>220</v>
      </c>
      <c r="B224" s="7">
        <f t="shared" si="37"/>
        <v>391.56012478955631</v>
      </c>
      <c r="C224" s="7">
        <f t="shared" si="33"/>
        <v>228.90509698360788</v>
      </c>
      <c r="D224" s="7">
        <f t="shared" si="34"/>
        <v>162.65502780594852</v>
      </c>
      <c r="E224" s="7">
        <f>SUM(C$5:C224)</f>
        <v>66605.387943273716</v>
      </c>
      <c r="F224" s="7">
        <f>SUM(D$5:D224)</f>
        <v>19537.839510428694</v>
      </c>
      <c r="G224" s="7">
        <f>$D$1-'Amort Schedule - Investor'!F224</f>
        <v>36462.16048957131</v>
      </c>
      <c r="H224" s="11">
        <f t="shared" si="35"/>
        <v>0.65111000874234481</v>
      </c>
      <c r="J224" s="127">
        <f t="shared" si="38"/>
        <v>280</v>
      </c>
      <c r="K224" s="127">
        <f t="shared" si="39"/>
        <v>61600</v>
      </c>
      <c r="L224" s="7">
        <f t="shared" si="40"/>
        <v>111.56012478955631</v>
      </c>
      <c r="M224" s="7">
        <f t="shared" si="41"/>
        <v>24543.227453702435</v>
      </c>
      <c r="N224" s="7">
        <f t="shared" si="42"/>
        <v>-51.094903016392124</v>
      </c>
      <c r="O224" s="7">
        <f t="shared" si="43"/>
        <v>5005.3879432736994</v>
      </c>
    </row>
    <row r="225" spans="1:15" x14ac:dyDescent="0.2">
      <c r="A225">
        <f t="shared" si="36"/>
        <v>221</v>
      </c>
      <c r="B225" s="7">
        <f t="shared" si="37"/>
        <v>391.56012478955631</v>
      </c>
      <c r="C225" s="7">
        <f t="shared" si="33"/>
        <v>227.88850305982066</v>
      </c>
      <c r="D225" s="7">
        <f t="shared" si="34"/>
        <v>163.67162172973568</v>
      </c>
      <c r="E225" s="7">
        <f>SUM(C$5:C225)</f>
        <v>66833.276446333533</v>
      </c>
      <c r="F225" s="7">
        <f>SUM(D$5:D225)</f>
        <v>19701.51113215843</v>
      </c>
      <c r="G225" s="7">
        <f>$D$1-'Amort Schedule - Investor'!F225</f>
        <v>36298.488867841574</v>
      </c>
      <c r="H225" s="11">
        <f t="shared" si="35"/>
        <v>0.64818730121145662</v>
      </c>
      <c r="J225" s="127">
        <f t="shared" si="38"/>
        <v>280</v>
      </c>
      <c r="K225" s="127">
        <f t="shared" si="39"/>
        <v>61880</v>
      </c>
      <c r="L225" s="7">
        <f t="shared" si="40"/>
        <v>111.56012478955631</v>
      </c>
      <c r="M225" s="7">
        <f t="shared" si="41"/>
        <v>24654.787578491992</v>
      </c>
      <c r="N225" s="7">
        <f t="shared" si="42"/>
        <v>-52.111496940179336</v>
      </c>
      <c r="O225" s="7">
        <f t="shared" si="43"/>
        <v>4953.2764463335197</v>
      </c>
    </row>
    <row r="226" spans="1:15" x14ac:dyDescent="0.2">
      <c r="A226">
        <f t="shared" si="36"/>
        <v>222</v>
      </c>
      <c r="B226" s="7">
        <f t="shared" si="37"/>
        <v>391.56012478955631</v>
      </c>
      <c r="C226" s="7">
        <f t="shared" si="33"/>
        <v>226.86555542400978</v>
      </c>
      <c r="D226" s="7">
        <f t="shared" si="34"/>
        <v>164.69456936554653</v>
      </c>
      <c r="E226" s="7">
        <f>SUM(C$5:C226)</f>
        <v>67060.142001757544</v>
      </c>
      <c r="F226" s="7">
        <f>SUM(D$5:D226)</f>
        <v>19866.205701523977</v>
      </c>
      <c r="G226" s="7">
        <f>$D$1-'Amort Schedule - Investor'!F226</f>
        <v>36133.794298476023</v>
      </c>
      <c r="H226" s="11">
        <f t="shared" si="35"/>
        <v>0.64524632675850035</v>
      </c>
      <c r="J226" s="127">
        <f t="shared" si="38"/>
        <v>280</v>
      </c>
      <c r="K226" s="127">
        <f t="shared" si="39"/>
        <v>62160</v>
      </c>
      <c r="L226" s="7">
        <f t="shared" si="40"/>
        <v>111.56012478955631</v>
      </c>
      <c r="M226" s="7">
        <f t="shared" si="41"/>
        <v>24766.34770328155</v>
      </c>
      <c r="N226" s="7">
        <f t="shared" si="42"/>
        <v>-53.134444575990216</v>
      </c>
      <c r="O226" s="7">
        <f t="shared" si="43"/>
        <v>4900.1420017575292</v>
      </c>
    </row>
    <row r="227" spans="1:15" x14ac:dyDescent="0.2">
      <c r="A227">
        <f t="shared" si="36"/>
        <v>223</v>
      </c>
      <c r="B227" s="7">
        <f t="shared" si="37"/>
        <v>391.56012478955631</v>
      </c>
      <c r="C227" s="7">
        <f t="shared" si="33"/>
        <v>225.83621436547517</v>
      </c>
      <c r="D227" s="7">
        <f t="shared" si="34"/>
        <v>165.72391042408123</v>
      </c>
      <c r="E227" s="7">
        <f>SUM(C$5:C227)</f>
        <v>67285.978216123025</v>
      </c>
      <c r="F227" s="7">
        <f>SUM(D$5:D227)</f>
        <v>20031.929611948057</v>
      </c>
      <c r="G227" s="7">
        <f>$D$1-'Amort Schedule - Investor'!F227</f>
        <v>35968.070388051943</v>
      </c>
      <c r="H227" s="11">
        <f t="shared" si="35"/>
        <v>0.64228697121521328</v>
      </c>
      <c r="J227" s="127">
        <f t="shared" si="38"/>
        <v>280</v>
      </c>
      <c r="K227" s="127">
        <f t="shared" si="39"/>
        <v>62440</v>
      </c>
      <c r="L227" s="7">
        <f t="shared" si="40"/>
        <v>111.56012478955631</v>
      </c>
      <c r="M227" s="7">
        <f t="shared" si="41"/>
        <v>24877.907828071107</v>
      </c>
      <c r="N227" s="7">
        <f t="shared" si="42"/>
        <v>-54.163785634524828</v>
      </c>
      <c r="O227" s="7">
        <f t="shared" si="43"/>
        <v>4845.9782161230041</v>
      </c>
    </row>
    <row r="228" spans="1:15" x14ac:dyDescent="0.2">
      <c r="A228">
        <f t="shared" si="36"/>
        <v>224</v>
      </c>
      <c r="B228" s="7">
        <f t="shared" si="37"/>
        <v>391.56012478955631</v>
      </c>
      <c r="C228" s="7">
        <f t="shared" si="33"/>
        <v>224.80043992532458</v>
      </c>
      <c r="D228" s="7">
        <f t="shared" si="34"/>
        <v>166.75968486423173</v>
      </c>
      <c r="E228" s="7">
        <f>SUM(C$5:C228)</f>
        <v>67510.778656048351</v>
      </c>
      <c r="F228" s="7">
        <f>SUM(D$5:D228)</f>
        <v>20198.689296812288</v>
      </c>
      <c r="G228" s="7">
        <f>$D$1-'Amort Schedule - Investor'!F228</f>
        <v>35801.310703187715</v>
      </c>
      <c r="H228" s="11">
        <f t="shared" si="35"/>
        <v>0.63930911969978066</v>
      </c>
      <c r="J228" s="127">
        <f t="shared" si="38"/>
        <v>280</v>
      </c>
      <c r="K228" s="127">
        <f t="shared" si="39"/>
        <v>62720</v>
      </c>
      <c r="L228" s="7">
        <f t="shared" si="40"/>
        <v>111.56012478955631</v>
      </c>
      <c r="M228" s="7">
        <f t="shared" si="41"/>
        <v>24989.467952860665</v>
      </c>
      <c r="N228" s="7">
        <f t="shared" si="42"/>
        <v>-55.199560074675418</v>
      </c>
      <c r="O228" s="7">
        <f t="shared" si="43"/>
        <v>4790.7786560483291</v>
      </c>
    </row>
    <row r="229" spans="1:15" x14ac:dyDescent="0.2">
      <c r="A229">
        <f t="shared" si="36"/>
        <v>225</v>
      </c>
      <c r="B229" s="7">
        <f t="shared" si="37"/>
        <v>391.56012478955631</v>
      </c>
      <c r="C229" s="7">
        <f t="shared" si="33"/>
        <v>223.75819189492316</v>
      </c>
      <c r="D229" s="7">
        <f t="shared" si="34"/>
        <v>167.80193289463318</v>
      </c>
      <c r="E229" s="7">
        <f>SUM(C$5:C229)</f>
        <v>67734.53684794328</v>
      </c>
      <c r="F229" s="7">
        <f>SUM(D$5:D229)</f>
        <v>20366.49122970692</v>
      </c>
      <c r="G229" s="7">
        <f>$D$1-'Amort Schedule - Investor'!F229</f>
        <v>35633.508770293076</v>
      </c>
      <c r="H229" s="11">
        <f t="shared" si="35"/>
        <v>0.63631265661237635</v>
      </c>
      <c r="J229" s="127">
        <f t="shared" si="38"/>
        <v>280</v>
      </c>
      <c r="K229" s="127">
        <f t="shared" si="39"/>
        <v>63000</v>
      </c>
      <c r="L229" s="7">
        <f t="shared" si="40"/>
        <v>111.56012478955631</v>
      </c>
      <c r="M229" s="7">
        <f t="shared" si="41"/>
        <v>25101.028077650222</v>
      </c>
      <c r="N229" s="7">
        <f t="shared" si="42"/>
        <v>-56.241808105076842</v>
      </c>
      <c r="O229" s="7">
        <f t="shared" si="43"/>
        <v>4734.5368479432527</v>
      </c>
    </row>
    <row r="230" spans="1:15" x14ac:dyDescent="0.2">
      <c r="A230">
        <f t="shared" si="36"/>
        <v>226</v>
      </c>
      <c r="B230" s="7">
        <f t="shared" si="37"/>
        <v>391.56012478955631</v>
      </c>
      <c r="C230" s="7">
        <f t="shared" si="33"/>
        <v>222.70942981433171</v>
      </c>
      <c r="D230" s="7">
        <f t="shared" si="34"/>
        <v>168.85069497522463</v>
      </c>
      <c r="E230" s="7">
        <f>SUM(C$5:C230)</f>
        <v>67957.246277757615</v>
      </c>
      <c r="F230" s="7">
        <f>SUM(D$5:D230)</f>
        <v>20535.341924682147</v>
      </c>
      <c r="G230" s="7">
        <f>$D$1-'Amort Schedule - Investor'!F230</f>
        <v>35464.658075317857</v>
      </c>
      <c r="H230" s="11">
        <f t="shared" si="35"/>
        <v>0.63329746563067602</v>
      </c>
      <c r="J230" s="127">
        <f t="shared" si="38"/>
        <v>280</v>
      </c>
      <c r="K230" s="127">
        <f t="shared" si="39"/>
        <v>63280</v>
      </c>
      <c r="L230" s="7">
        <f t="shared" si="40"/>
        <v>111.56012478955631</v>
      </c>
      <c r="M230" s="7">
        <f t="shared" si="41"/>
        <v>25212.58820243978</v>
      </c>
      <c r="N230" s="7">
        <f t="shared" si="42"/>
        <v>-57.290570185668287</v>
      </c>
      <c r="O230" s="7">
        <f t="shared" si="43"/>
        <v>4677.2462777575847</v>
      </c>
    </row>
    <row r="231" spans="1:15" x14ac:dyDescent="0.2">
      <c r="A231">
        <f t="shared" si="36"/>
        <v>227</v>
      </c>
      <c r="B231" s="7">
        <f t="shared" si="37"/>
        <v>391.56012478955631</v>
      </c>
      <c r="C231" s="7">
        <f t="shared" si="33"/>
        <v>221.65411297073655</v>
      </c>
      <c r="D231" s="7">
        <f t="shared" si="34"/>
        <v>169.90601181881976</v>
      </c>
      <c r="E231" s="7">
        <f>SUM(C$5:C231)</f>
        <v>68178.900390728348</v>
      </c>
      <c r="F231" s="7">
        <f>SUM(D$5:D231)</f>
        <v>20705.247936500968</v>
      </c>
      <c r="G231" s="7">
        <f>$D$1-'Amort Schedule - Investor'!F231</f>
        <v>35294.752063499036</v>
      </c>
      <c r="H231" s="11">
        <f t="shared" si="35"/>
        <v>0.63026342970533988</v>
      </c>
      <c r="J231" s="127">
        <f t="shared" si="38"/>
        <v>280</v>
      </c>
      <c r="K231" s="127">
        <f t="shared" si="39"/>
        <v>63560</v>
      </c>
      <c r="L231" s="7">
        <f t="shared" si="40"/>
        <v>111.56012478955631</v>
      </c>
      <c r="M231" s="7">
        <f t="shared" si="41"/>
        <v>25324.148327229337</v>
      </c>
      <c r="N231" s="7">
        <f t="shared" si="42"/>
        <v>-58.345887029263451</v>
      </c>
      <c r="O231" s="7">
        <f t="shared" si="43"/>
        <v>4618.9003907283213</v>
      </c>
    </row>
    <row r="232" spans="1:15" s="6" customFormat="1" x14ac:dyDescent="0.2">
      <c r="A232" s="6">
        <f t="shared" si="36"/>
        <v>228</v>
      </c>
      <c r="B232" s="128">
        <f t="shared" si="37"/>
        <v>391.56012478955631</v>
      </c>
      <c r="C232" s="128">
        <f t="shared" si="33"/>
        <v>220.59220039686895</v>
      </c>
      <c r="D232" s="128">
        <f t="shared" si="34"/>
        <v>170.96792439268739</v>
      </c>
      <c r="E232" s="128">
        <f>SUM(C$5:C232)</f>
        <v>68399.492591125221</v>
      </c>
      <c r="F232" s="128">
        <f>SUM(D$5:D232)</f>
        <v>20876.215860893655</v>
      </c>
      <c r="G232" s="128">
        <f>$D$1-'Amort Schedule - Investor'!F232</f>
        <v>35123.784139106341</v>
      </c>
      <c r="H232" s="124">
        <f t="shared" si="35"/>
        <v>0.62721043105547036</v>
      </c>
      <c r="J232" s="127">
        <f t="shared" si="38"/>
        <v>280</v>
      </c>
      <c r="K232" s="127">
        <f t="shared" si="39"/>
        <v>63840</v>
      </c>
      <c r="L232" s="7">
        <f t="shared" si="40"/>
        <v>111.56012478955631</v>
      </c>
      <c r="M232" s="7">
        <f t="shared" si="41"/>
        <v>25435.708452018895</v>
      </c>
      <c r="N232" s="7">
        <f t="shared" si="42"/>
        <v>-59.407799603131053</v>
      </c>
      <c r="O232" s="7">
        <f t="shared" si="43"/>
        <v>4559.4925911251903</v>
      </c>
    </row>
    <row r="233" spans="1:15" x14ac:dyDescent="0.2">
      <c r="A233">
        <f t="shared" si="36"/>
        <v>229</v>
      </c>
      <c r="B233" s="7">
        <f t="shared" si="37"/>
        <v>391.56012478955631</v>
      </c>
      <c r="C233" s="7">
        <f t="shared" si="33"/>
        <v>219.52365086941461</v>
      </c>
      <c r="D233" s="7">
        <f t="shared" si="34"/>
        <v>172.03647392014167</v>
      </c>
      <c r="E233" s="7">
        <f>SUM(C$5:C233)</f>
        <v>68619.016241994643</v>
      </c>
      <c r="F233" s="7">
        <f>SUM(D$5:D233)</f>
        <v>21048.252334813798</v>
      </c>
      <c r="G233" s="7">
        <f>$D$1-'Amort Schedule - Investor'!F233</f>
        <v>34951.747665186202</v>
      </c>
      <c r="H233" s="11">
        <f t="shared" si="35"/>
        <v>0.62413835116403926</v>
      </c>
      <c r="J233" s="127">
        <f t="shared" si="38"/>
        <v>280</v>
      </c>
      <c r="K233" s="127">
        <f t="shared" si="39"/>
        <v>64120</v>
      </c>
      <c r="L233" s="7">
        <f t="shared" si="40"/>
        <v>111.56012478955631</v>
      </c>
      <c r="M233" s="7">
        <f t="shared" si="41"/>
        <v>25547.268576808452</v>
      </c>
      <c r="N233" s="7">
        <f t="shared" si="42"/>
        <v>-60.47634913058539</v>
      </c>
      <c r="O233" s="7">
        <f t="shared" si="43"/>
        <v>4499.0162419946046</v>
      </c>
    </row>
    <row r="234" spans="1:15" x14ac:dyDescent="0.2">
      <c r="A234">
        <f t="shared" si="36"/>
        <v>230</v>
      </c>
      <c r="B234" s="7">
        <f t="shared" si="37"/>
        <v>391.56012478955631</v>
      </c>
      <c r="C234" s="7">
        <f t="shared" si="33"/>
        <v>218.4484229074138</v>
      </c>
      <c r="D234" s="7">
        <f t="shared" si="34"/>
        <v>173.11170188214257</v>
      </c>
      <c r="E234" s="7">
        <f>SUM(C$5:C234)</f>
        <v>68837.464664902058</v>
      </c>
      <c r="F234" s="7">
        <f>SUM(D$5:D234)</f>
        <v>21221.364036695941</v>
      </c>
      <c r="G234" s="7">
        <f>$D$1-'Amort Schedule - Investor'!F234</f>
        <v>34778.635963304056</v>
      </c>
      <c r="H234" s="11">
        <f t="shared" si="35"/>
        <v>0.62104707077328669</v>
      </c>
      <c r="J234" s="127">
        <f t="shared" si="38"/>
        <v>280</v>
      </c>
      <c r="K234" s="127">
        <f t="shared" si="39"/>
        <v>64400</v>
      </c>
      <c r="L234" s="7">
        <f t="shared" si="40"/>
        <v>111.56012478955631</v>
      </c>
      <c r="M234" s="7">
        <f t="shared" si="41"/>
        <v>25658.82870159801</v>
      </c>
      <c r="N234" s="7">
        <f t="shared" si="42"/>
        <v>-61.5515770925862</v>
      </c>
      <c r="O234" s="7">
        <f t="shared" si="43"/>
        <v>4437.4646649020187</v>
      </c>
    </row>
    <row r="235" spans="1:15" x14ac:dyDescent="0.2">
      <c r="A235">
        <f t="shared" si="36"/>
        <v>231</v>
      </c>
      <c r="B235" s="7">
        <f t="shared" si="37"/>
        <v>391.56012478955631</v>
      </c>
      <c r="C235" s="7">
        <f t="shared" si="33"/>
        <v>217.36647477065037</v>
      </c>
      <c r="D235" s="7">
        <f t="shared" si="34"/>
        <v>174.19365001890594</v>
      </c>
      <c r="E235" s="7">
        <f>SUM(C$5:C235)</f>
        <v>69054.831139672708</v>
      </c>
      <c r="F235" s="7">
        <f>SUM(D$5:D235)</f>
        <v>21395.557686714848</v>
      </c>
      <c r="G235" s="7">
        <f>$D$1-'Amort Schedule - Investor'!F235</f>
        <v>34604.442313285152</v>
      </c>
      <c r="H235" s="11">
        <f t="shared" si="35"/>
        <v>0.61793646988009199</v>
      </c>
      <c r="J235" s="127">
        <f t="shared" si="38"/>
        <v>280</v>
      </c>
      <c r="K235" s="127">
        <f t="shared" si="39"/>
        <v>64680</v>
      </c>
      <c r="L235" s="7">
        <f t="shared" si="40"/>
        <v>111.56012478955631</v>
      </c>
      <c r="M235" s="7">
        <f t="shared" si="41"/>
        <v>25770.388826387567</v>
      </c>
      <c r="N235" s="7">
        <f t="shared" si="42"/>
        <v>-62.63352522934963</v>
      </c>
      <c r="O235" s="7">
        <f t="shared" si="43"/>
        <v>4374.8311396726695</v>
      </c>
    </row>
    <row r="236" spans="1:15" x14ac:dyDescent="0.2">
      <c r="A236">
        <f t="shared" si="36"/>
        <v>232</v>
      </c>
      <c r="B236" s="7">
        <f t="shared" si="37"/>
        <v>391.56012478955631</v>
      </c>
      <c r="C236" s="7">
        <f t="shared" si="33"/>
        <v>216.27776445803224</v>
      </c>
      <c r="D236" s="7">
        <f t="shared" si="34"/>
        <v>175.28236033152413</v>
      </c>
      <c r="E236" s="7">
        <f>SUM(C$5:C236)</f>
        <v>69271.108904130742</v>
      </c>
      <c r="F236" s="7">
        <f>SUM(D$5:D236)</f>
        <v>21570.840047046371</v>
      </c>
      <c r="G236" s="7">
        <f>$D$1-'Amort Schedule - Investor'!F236</f>
        <v>34429.159952953632</v>
      </c>
      <c r="H236" s="11">
        <f t="shared" si="35"/>
        <v>0.61480642773131489</v>
      </c>
      <c r="J236" s="127">
        <f t="shared" si="38"/>
        <v>280</v>
      </c>
      <c r="K236" s="127">
        <f t="shared" si="39"/>
        <v>64960</v>
      </c>
      <c r="L236" s="7">
        <f t="shared" si="40"/>
        <v>111.56012478955631</v>
      </c>
      <c r="M236" s="7">
        <f t="shared" si="41"/>
        <v>25881.948951177124</v>
      </c>
      <c r="N236" s="7">
        <f t="shared" si="42"/>
        <v>-63.722235541967763</v>
      </c>
      <c r="O236" s="7">
        <f t="shared" si="43"/>
        <v>4311.1089041307014</v>
      </c>
    </row>
    <row r="237" spans="1:15" x14ac:dyDescent="0.2">
      <c r="A237">
        <f t="shared" si="36"/>
        <v>233</v>
      </c>
      <c r="B237" s="7">
        <f t="shared" si="37"/>
        <v>391.56012478955631</v>
      </c>
      <c r="C237" s="7">
        <f t="shared" si="33"/>
        <v>215.18224970596015</v>
      </c>
      <c r="D237" s="7">
        <f t="shared" si="34"/>
        <v>176.37787508359617</v>
      </c>
      <c r="E237" s="7">
        <f>SUM(C$5:C237)</f>
        <v>69486.291153836704</v>
      </c>
      <c r="F237" s="7">
        <f>SUM(D$5:D237)</f>
        <v>21747.217922129967</v>
      </c>
      <c r="G237" s="7">
        <f>$D$1-'Amort Schedule - Investor'!F237</f>
        <v>34252.782077870033</v>
      </c>
      <c r="H237" s="11">
        <f t="shared" si="35"/>
        <v>0.61165682281910772</v>
      </c>
      <c r="J237" s="127">
        <f t="shared" si="38"/>
        <v>280</v>
      </c>
      <c r="K237" s="127">
        <f t="shared" si="39"/>
        <v>65240</v>
      </c>
      <c r="L237" s="7">
        <f t="shared" si="40"/>
        <v>111.56012478955631</v>
      </c>
      <c r="M237" s="7">
        <f t="shared" si="41"/>
        <v>25993.509075966682</v>
      </c>
      <c r="N237" s="7">
        <f t="shared" si="42"/>
        <v>-64.817750294039854</v>
      </c>
      <c r="O237" s="7">
        <f t="shared" si="43"/>
        <v>4246.2911538366616</v>
      </c>
    </row>
    <row r="238" spans="1:15" x14ac:dyDescent="0.2">
      <c r="A238">
        <f t="shared" si="36"/>
        <v>234</v>
      </c>
      <c r="B238" s="7">
        <f t="shared" si="37"/>
        <v>391.56012478955631</v>
      </c>
      <c r="C238" s="7">
        <f t="shared" si="33"/>
        <v>214.07988798668768</v>
      </c>
      <c r="D238" s="7">
        <f t="shared" si="34"/>
        <v>177.48023680286863</v>
      </c>
      <c r="E238" s="7">
        <f>SUM(C$5:C238)</f>
        <v>69700.371041823397</v>
      </c>
      <c r="F238" s="7">
        <f>SUM(D$5:D238)</f>
        <v>21924.698158932835</v>
      </c>
      <c r="G238" s="7">
        <f>$D$1-'Amort Schedule - Investor'!F238</f>
        <v>34075.301841067165</v>
      </c>
      <c r="H238" s="11">
        <f t="shared" si="35"/>
        <v>0.60848753287619939</v>
      </c>
      <c r="J238" s="127">
        <f t="shared" si="38"/>
        <v>280</v>
      </c>
      <c r="K238" s="127">
        <f t="shared" si="39"/>
        <v>65520</v>
      </c>
      <c r="L238" s="7">
        <f t="shared" si="40"/>
        <v>111.56012478955631</v>
      </c>
      <c r="M238" s="7">
        <f t="shared" si="41"/>
        <v>26105.069200756239</v>
      </c>
      <c r="N238" s="7">
        <f t="shared" si="42"/>
        <v>-65.92011201331232</v>
      </c>
      <c r="O238" s="7">
        <f t="shared" si="43"/>
        <v>4180.3710418233495</v>
      </c>
    </row>
    <row r="239" spans="1:15" x14ac:dyDescent="0.2">
      <c r="A239">
        <f t="shared" si="36"/>
        <v>235</v>
      </c>
      <c r="B239" s="7">
        <f t="shared" si="37"/>
        <v>391.56012478955631</v>
      </c>
      <c r="C239" s="7">
        <f t="shared" si="33"/>
        <v>212.97063650666982</v>
      </c>
      <c r="D239" s="7">
        <f t="shared" si="34"/>
        <v>178.58948828288655</v>
      </c>
      <c r="E239" s="7">
        <f>SUM(C$5:C239)</f>
        <v>69913.341678330064</v>
      </c>
      <c r="F239" s="7">
        <f>SUM(D$5:D239)</f>
        <v>22103.287647215722</v>
      </c>
      <c r="G239" s="7">
        <f>$D$1-'Amort Schedule - Investor'!F239</f>
        <v>33896.712352784278</v>
      </c>
      <c r="H239" s="11">
        <f t="shared" si="35"/>
        <v>0.60529843487114787</v>
      </c>
      <c r="J239" s="127">
        <f t="shared" si="38"/>
        <v>280</v>
      </c>
      <c r="K239" s="127">
        <f t="shared" si="39"/>
        <v>65800</v>
      </c>
      <c r="L239" s="7">
        <f t="shared" si="40"/>
        <v>111.56012478955631</v>
      </c>
      <c r="M239" s="7">
        <f t="shared" si="41"/>
        <v>26216.629325545797</v>
      </c>
      <c r="N239" s="7">
        <f t="shared" si="42"/>
        <v>-67.02936349333018</v>
      </c>
      <c r="O239" s="7">
        <f t="shared" si="43"/>
        <v>4113.341678330019</v>
      </c>
    </row>
    <row r="240" spans="1:15" x14ac:dyDescent="0.2">
      <c r="A240">
        <f t="shared" si="36"/>
        <v>236</v>
      </c>
      <c r="B240" s="7">
        <f t="shared" si="37"/>
        <v>391.56012478955631</v>
      </c>
      <c r="C240" s="7">
        <f t="shared" si="33"/>
        <v>211.85445220490178</v>
      </c>
      <c r="D240" s="7">
        <f t="shared" si="34"/>
        <v>179.70567258465459</v>
      </c>
      <c r="E240" s="7">
        <f>SUM(C$5:C240)</f>
        <v>70125.196130534969</v>
      </c>
      <c r="F240" s="7">
        <f>SUM(D$5:D240)</f>
        <v>22282.993319800378</v>
      </c>
      <c r="G240" s="7">
        <f>$D$1-'Amort Schedule - Investor'!F240</f>
        <v>33717.006680199622</v>
      </c>
      <c r="H240" s="11">
        <f t="shared" si="35"/>
        <v>0.60208940500356467</v>
      </c>
      <c r="J240" s="127">
        <f t="shared" si="38"/>
        <v>280</v>
      </c>
      <c r="K240" s="127">
        <f t="shared" si="39"/>
        <v>66080</v>
      </c>
      <c r="L240" s="7">
        <f t="shared" si="40"/>
        <v>111.56012478955631</v>
      </c>
      <c r="M240" s="7">
        <f t="shared" si="41"/>
        <v>26328.189450335354</v>
      </c>
      <c r="N240" s="7">
        <f t="shared" si="42"/>
        <v>-68.145547795098224</v>
      </c>
      <c r="O240" s="7">
        <f t="shared" si="43"/>
        <v>4045.1961305349209</v>
      </c>
    </row>
    <row r="241" spans="1:15" x14ac:dyDescent="0.2">
      <c r="A241">
        <f t="shared" si="36"/>
        <v>237</v>
      </c>
      <c r="B241" s="7">
        <f t="shared" si="37"/>
        <v>391.56012478955631</v>
      </c>
      <c r="C241" s="7">
        <f t="shared" si="33"/>
        <v>210.73129175124762</v>
      </c>
      <c r="D241" s="7">
        <f t="shared" si="34"/>
        <v>180.82883303830869</v>
      </c>
      <c r="E241" s="7">
        <f>SUM(C$5:C241)</f>
        <v>70335.927422286215</v>
      </c>
      <c r="F241" s="7">
        <f>SUM(D$5:D241)</f>
        <v>22463.822152838686</v>
      </c>
      <c r="G241" s="7">
        <f>$D$1-'Amort Schedule - Investor'!F241</f>
        <v>33536.177847161314</v>
      </c>
      <c r="H241" s="11">
        <f t="shared" si="35"/>
        <v>0.59886031869930922</v>
      </c>
      <c r="J241" s="127">
        <f t="shared" si="38"/>
        <v>280</v>
      </c>
      <c r="K241" s="127">
        <f t="shared" si="39"/>
        <v>66360</v>
      </c>
      <c r="L241" s="7">
        <f t="shared" si="40"/>
        <v>111.56012478955631</v>
      </c>
      <c r="M241" s="7">
        <f t="shared" si="41"/>
        <v>26439.749575124912</v>
      </c>
      <c r="N241" s="7">
        <f t="shared" si="42"/>
        <v>-69.268708248752375</v>
      </c>
      <c r="O241" s="7">
        <f t="shared" si="43"/>
        <v>3975.9274222861686</v>
      </c>
    </row>
    <row r="242" spans="1:15" x14ac:dyDescent="0.2">
      <c r="A242">
        <f t="shared" si="36"/>
        <v>238</v>
      </c>
      <c r="B242" s="7">
        <f t="shared" si="37"/>
        <v>391.56012478955631</v>
      </c>
      <c r="C242" s="7">
        <f t="shared" si="33"/>
        <v>209.60111154475825</v>
      </c>
      <c r="D242" s="7">
        <f t="shared" si="34"/>
        <v>181.95901324479811</v>
      </c>
      <c r="E242" s="7">
        <f>SUM(C$5:C242)</f>
        <v>70545.528533830977</v>
      </c>
      <c r="F242" s="7">
        <f>SUM(D$5:D242)</f>
        <v>22645.781166083485</v>
      </c>
      <c r="G242" s="7">
        <f>$D$1-'Amort Schedule - Investor'!F242</f>
        <v>33354.218833916515</v>
      </c>
      <c r="H242" s="11">
        <f t="shared" si="35"/>
        <v>0.595611050605652</v>
      </c>
      <c r="J242" s="127">
        <f t="shared" si="38"/>
        <v>280</v>
      </c>
      <c r="K242" s="127">
        <f t="shared" si="39"/>
        <v>66640</v>
      </c>
      <c r="L242" s="7">
        <f t="shared" si="40"/>
        <v>111.56012478955631</v>
      </c>
      <c r="M242" s="7">
        <f t="shared" si="41"/>
        <v>26551.309699914469</v>
      </c>
      <c r="N242" s="7">
        <f t="shared" si="42"/>
        <v>-70.398888455241746</v>
      </c>
      <c r="O242" s="7">
        <f t="shared" si="43"/>
        <v>3905.5285338309268</v>
      </c>
    </row>
    <row r="243" spans="1:15" x14ac:dyDescent="0.2">
      <c r="A243">
        <f t="shared" si="36"/>
        <v>239</v>
      </c>
      <c r="B243" s="7">
        <f t="shared" si="37"/>
        <v>391.56012478955631</v>
      </c>
      <c r="C243" s="7">
        <f t="shared" si="33"/>
        <v>208.46386771197825</v>
      </c>
      <c r="D243" s="7">
        <f t="shared" si="34"/>
        <v>183.09625707757809</v>
      </c>
      <c r="E243" s="7">
        <f>SUM(C$5:C243)</f>
        <v>70753.992401542957</v>
      </c>
      <c r="F243" s="7">
        <f>SUM(D$5:D243)</f>
        <v>22828.877423161062</v>
      </c>
      <c r="G243" s="7">
        <f>$D$1-'Amort Schedule - Investor'!F243</f>
        <v>33171.122576838941</v>
      </c>
      <c r="H243" s="11">
        <f t="shared" si="35"/>
        <v>0.59234147458640962</v>
      </c>
      <c r="J243" s="127">
        <f t="shared" si="38"/>
        <v>280</v>
      </c>
      <c r="K243" s="127">
        <f t="shared" si="39"/>
        <v>66920</v>
      </c>
      <c r="L243" s="7">
        <f t="shared" si="40"/>
        <v>111.56012478955631</v>
      </c>
      <c r="M243" s="7">
        <f t="shared" si="41"/>
        <v>26662.869824704027</v>
      </c>
      <c r="N243" s="7">
        <f t="shared" si="42"/>
        <v>-71.536132288021747</v>
      </c>
      <c r="O243" s="7">
        <f t="shared" si="43"/>
        <v>3833.9924015429051</v>
      </c>
    </row>
    <row r="244" spans="1:15" s="6" customFormat="1" x14ac:dyDescent="0.2">
      <c r="A244" s="6">
        <f t="shared" si="36"/>
        <v>240</v>
      </c>
      <c r="B244" s="128">
        <f t="shared" si="37"/>
        <v>391.56012478955631</v>
      </c>
      <c r="C244" s="128">
        <f t="shared" si="33"/>
        <v>207.31951610524337</v>
      </c>
      <c r="D244" s="128">
        <f t="shared" si="34"/>
        <v>184.24060868431295</v>
      </c>
      <c r="E244" s="128">
        <f>SUM(C$5:C244)</f>
        <v>70961.3119176482</v>
      </c>
      <c r="F244" s="128">
        <f>SUM(D$5:D244)</f>
        <v>23013.118031845373</v>
      </c>
      <c r="G244" s="128">
        <f>$D$1-'Amort Schedule - Investor'!F244</f>
        <v>32986.88196815463</v>
      </c>
      <c r="H244" s="124">
        <f t="shared" si="35"/>
        <v>0.58905146371704697</v>
      </c>
      <c r="J244" s="127">
        <f t="shared" si="38"/>
        <v>280</v>
      </c>
      <c r="K244" s="127">
        <f t="shared" si="39"/>
        <v>67200</v>
      </c>
      <c r="L244" s="7">
        <f t="shared" si="40"/>
        <v>111.56012478955631</v>
      </c>
      <c r="M244" s="7">
        <f t="shared" si="41"/>
        <v>26774.429949493584</v>
      </c>
      <c r="N244" s="7">
        <f t="shared" si="42"/>
        <v>-72.680483894756634</v>
      </c>
      <c r="O244" s="7">
        <f t="shared" si="43"/>
        <v>3761.3119176481487</v>
      </c>
    </row>
    <row r="245" spans="1:15" x14ac:dyDescent="0.2">
      <c r="A245">
        <f t="shared" si="36"/>
        <v>241</v>
      </c>
      <c r="B245" s="7">
        <f t="shared" si="37"/>
        <v>391.56012478955631</v>
      </c>
      <c r="C245" s="7">
        <f t="shared" si="33"/>
        <v>206.16801230096641</v>
      </c>
      <c r="D245" s="7">
        <f t="shared" si="34"/>
        <v>185.3921124885899</v>
      </c>
      <c r="E245" s="7">
        <f>SUM(C$5:C245)</f>
        <v>71167.479929949171</v>
      </c>
      <c r="F245" s="7">
        <f>SUM(D$5:D245)</f>
        <v>23198.510144333963</v>
      </c>
      <c r="G245" s="7">
        <f>$D$1-'Amort Schedule - Investor'!F245</f>
        <v>32801.489855666034</v>
      </c>
      <c r="H245" s="11">
        <f t="shared" si="35"/>
        <v>0.58574089027975063</v>
      </c>
      <c r="J245" s="127">
        <f t="shared" si="38"/>
        <v>280</v>
      </c>
      <c r="K245" s="127">
        <f t="shared" si="39"/>
        <v>67480</v>
      </c>
      <c r="L245" s="7">
        <f t="shared" si="40"/>
        <v>111.56012478955631</v>
      </c>
      <c r="M245" s="7">
        <f t="shared" si="41"/>
        <v>26885.990074283141</v>
      </c>
      <c r="N245" s="7">
        <f t="shared" si="42"/>
        <v>-73.83198769903359</v>
      </c>
      <c r="O245" s="7">
        <f t="shared" si="43"/>
        <v>3687.4799299491151</v>
      </c>
    </row>
    <row r="246" spans="1:15" x14ac:dyDescent="0.2">
      <c r="A246">
        <f t="shared" si="36"/>
        <v>242</v>
      </c>
      <c r="B246" s="7">
        <f t="shared" si="37"/>
        <v>391.56012478955631</v>
      </c>
      <c r="C246" s="7">
        <f t="shared" si="33"/>
        <v>205.0093115979127</v>
      </c>
      <c r="D246" s="7">
        <f t="shared" si="34"/>
        <v>186.55081319164361</v>
      </c>
      <c r="E246" s="7">
        <f>SUM(C$5:C246)</f>
        <v>71372.489241547082</v>
      </c>
      <c r="F246" s="7">
        <f>SUM(D$5:D246)</f>
        <v>23385.060957525606</v>
      </c>
      <c r="G246" s="7">
        <f>$D$1-'Amort Schedule - Investor'!F246</f>
        <v>32614.939042474394</v>
      </c>
      <c r="H246" s="11">
        <f t="shared" si="35"/>
        <v>0.58240962575847133</v>
      </c>
      <c r="J246" s="127">
        <f t="shared" si="38"/>
        <v>280</v>
      </c>
      <c r="K246" s="127">
        <f t="shared" si="39"/>
        <v>67760</v>
      </c>
      <c r="L246" s="7">
        <f t="shared" si="40"/>
        <v>111.56012478955631</v>
      </c>
      <c r="M246" s="7">
        <f t="shared" si="41"/>
        <v>26997.550199072699</v>
      </c>
      <c r="N246" s="7">
        <f t="shared" si="42"/>
        <v>-74.990688402087301</v>
      </c>
      <c r="O246" s="7">
        <f t="shared" si="43"/>
        <v>3612.4892415470276</v>
      </c>
    </row>
    <row r="247" spans="1:15" x14ac:dyDescent="0.2">
      <c r="A247">
        <f t="shared" si="36"/>
        <v>243</v>
      </c>
      <c r="B247" s="7">
        <f t="shared" si="37"/>
        <v>391.56012478955631</v>
      </c>
      <c r="C247" s="7">
        <f t="shared" si="33"/>
        <v>203.84336901546496</v>
      </c>
      <c r="D247" s="7">
        <f t="shared" si="34"/>
        <v>187.71675577409138</v>
      </c>
      <c r="E247" s="7">
        <f>SUM(C$5:C247)</f>
        <v>71576.332610562546</v>
      </c>
      <c r="F247" s="7">
        <f>SUM(D$5:D247)</f>
        <v>23572.777713299696</v>
      </c>
      <c r="G247" s="7">
        <f>$D$1-'Amort Schedule - Investor'!F247</f>
        <v>32427.222286700304</v>
      </c>
      <c r="H247" s="11">
        <f t="shared" si="35"/>
        <v>0.57905754083393401</v>
      </c>
      <c r="J247" s="127">
        <f t="shared" si="38"/>
        <v>280</v>
      </c>
      <c r="K247" s="127">
        <f t="shared" si="39"/>
        <v>68040</v>
      </c>
      <c r="L247" s="7">
        <f t="shared" si="40"/>
        <v>111.56012478955631</v>
      </c>
      <c r="M247" s="7">
        <f t="shared" si="41"/>
        <v>27109.110323862256</v>
      </c>
      <c r="N247" s="7">
        <f t="shared" si="42"/>
        <v>-76.156630984535042</v>
      </c>
      <c r="O247" s="7">
        <f t="shared" si="43"/>
        <v>3536.3326105624924</v>
      </c>
    </row>
    <row r="248" spans="1:15" x14ac:dyDescent="0.2">
      <c r="A248">
        <f t="shared" si="36"/>
        <v>244</v>
      </c>
      <c r="B248" s="7">
        <f t="shared" si="37"/>
        <v>391.56012478955631</v>
      </c>
      <c r="C248" s="7">
        <f t="shared" si="33"/>
        <v>202.67013929187686</v>
      </c>
      <c r="D248" s="7">
        <f t="shared" si="34"/>
        <v>188.88998549767948</v>
      </c>
      <c r="E248" s="7">
        <f>SUM(C$5:C248)</f>
        <v>71779.002749854422</v>
      </c>
      <c r="F248" s="7">
        <f>SUM(D$5:D248)</f>
        <v>23761.667698797377</v>
      </c>
      <c r="G248" s="7">
        <f>$D$1-'Amort Schedule - Investor'!F248</f>
        <v>32238.332301202623</v>
      </c>
      <c r="H248" s="11">
        <f t="shared" si="35"/>
        <v>0.57568450537861826</v>
      </c>
      <c r="J248" s="127">
        <f t="shared" si="38"/>
        <v>280</v>
      </c>
      <c r="K248" s="127">
        <f t="shared" si="39"/>
        <v>68320</v>
      </c>
      <c r="L248" s="7">
        <f t="shared" si="40"/>
        <v>111.56012478955631</v>
      </c>
      <c r="M248" s="7">
        <f t="shared" si="41"/>
        <v>27220.670448651814</v>
      </c>
      <c r="N248" s="7">
        <f t="shared" si="42"/>
        <v>-77.329860708123135</v>
      </c>
      <c r="O248" s="7">
        <f t="shared" si="43"/>
        <v>3459.0027498543691</v>
      </c>
    </row>
    <row r="249" spans="1:15" x14ac:dyDescent="0.2">
      <c r="A249">
        <f t="shared" si="36"/>
        <v>245</v>
      </c>
      <c r="B249" s="7">
        <f t="shared" si="37"/>
        <v>391.56012478955631</v>
      </c>
      <c r="C249" s="7">
        <f t="shared" si="33"/>
        <v>201.48957688251639</v>
      </c>
      <c r="D249" s="7">
        <f t="shared" si="34"/>
        <v>190.07054790703995</v>
      </c>
      <c r="E249" s="7">
        <f>SUM(C$5:C249)</f>
        <v>71980.492326736945</v>
      </c>
      <c r="F249" s="7">
        <f>SUM(D$5:D249)</f>
        <v>23951.738246704415</v>
      </c>
      <c r="G249" s="7">
        <f>$D$1-'Amort Schedule - Investor'!F249</f>
        <v>32048.261753295585</v>
      </c>
      <c r="H249" s="11">
        <f t="shared" si="35"/>
        <v>0.57229038845170688</v>
      </c>
      <c r="J249" s="127">
        <f t="shared" si="38"/>
        <v>280</v>
      </c>
      <c r="K249" s="127">
        <f t="shared" si="39"/>
        <v>68600</v>
      </c>
      <c r="L249" s="7">
        <f t="shared" si="40"/>
        <v>111.56012478955631</v>
      </c>
      <c r="M249" s="7">
        <f t="shared" si="41"/>
        <v>27332.230573441371</v>
      </c>
      <c r="N249" s="7">
        <f t="shared" si="42"/>
        <v>-78.510423117483612</v>
      </c>
      <c r="O249" s="7">
        <f t="shared" si="43"/>
        <v>3380.4923267368854</v>
      </c>
    </row>
    <row r="250" spans="1:15" x14ac:dyDescent="0.2">
      <c r="A250">
        <f t="shared" si="36"/>
        <v>246</v>
      </c>
      <c r="B250" s="7">
        <f t="shared" si="37"/>
        <v>391.56012478955631</v>
      </c>
      <c r="C250" s="7">
        <f t="shared" si="33"/>
        <v>200.30163595809739</v>
      </c>
      <c r="D250" s="7">
        <f t="shared" si="34"/>
        <v>191.25848883145895</v>
      </c>
      <c r="E250" s="7">
        <f>SUM(C$5:C250)</f>
        <v>72180.793962695039</v>
      </c>
      <c r="F250" s="7">
        <f>SUM(D$5:D250)</f>
        <v>24142.996735535875</v>
      </c>
      <c r="G250" s="7">
        <f>$D$1-'Amort Schedule - Investor'!F250</f>
        <v>31857.003264464125</v>
      </c>
      <c r="H250" s="11">
        <f t="shared" si="35"/>
        <v>0.5688750582940022</v>
      </c>
      <c r="J250" s="127">
        <f t="shared" si="38"/>
        <v>280</v>
      </c>
      <c r="K250" s="127">
        <f t="shared" si="39"/>
        <v>68880</v>
      </c>
      <c r="L250" s="7">
        <f t="shared" si="40"/>
        <v>111.56012478955631</v>
      </c>
      <c r="M250" s="7">
        <f t="shared" si="41"/>
        <v>27443.790698230929</v>
      </c>
      <c r="N250" s="7">
        <f t="shared" si="42"/>
        <v>-79.698364041902607</v>
      </c>
      <c r="O250" s="7">
        <f t="shared" si="43"/>
        <v>3300.7939626949828</v>
      </c>
    </row>
    <row r="251" spans="1:15" x14ac:dyDescent="0.2">
      <c r="A251">
        <f t="shared" si="36"/>
        <v>247</v>
      </c>
      <c r="B251" s="7">
        <f t="shared" si="37"/>
        <v>391.56012478955631</v>
      </c>
      <c r="C251" s="7">
        <f t="shared" si="33"/>
        <v>199.10627040290078</v>
      </c>
      <c r="D251" s="7">
        <f t="shared" si="34"/>
        <v>192.45385438665559</v>
      </c>
      <c r="E251" s="7">
        <f>SUM(C$5:C251)</f>
        <v>72379.900233097942</v>
      </c>
      <c r="F251" s="7">
        <f>SUM(D$5:D251)</f>
        <v>24335.45058992253</v>
      </c>
      <c r="G251" s="7">
        <f>$D$1-'Amort Schedule - Investor'!F251</f>
        <v>31664.54941007747</v>
      </c>
      <c r="H251" s="11">
        <f t="shared" si="35"/>
        <v>0.56543838232281196</v>
      </c>
      <c r="J251" s="127">
        <f t="shared" si="38"/>
        <v>280</v>
      </c>
      <c r="K251" s="127">
        <f t="shared" si="39"/>
        <v>69160</v>
      </c>
      <c r="L251" s="7">
        <f t="shared" si="40"/>
        <v>111.56012478955631</v>
      </c>
      <c r="M251" s="7">
        <f t="shared" si="41"/>
        <v>27555.350823020486</v>
      </c>
      <c r="N251" s="7">
        <f t="shared" si="42"/>
        <v>-80.893729597099224</v>
      </c>
      <c r="O251" s="7">
        <f t="shared" si="43"/>
        <v>3219.9002330978838</v>
      </c>
    </row>
    <row r="252" spans="1:15" x14ac:dyDescent="0.2">
      <c r="A252">
        <f t="shared" si="36"/>
        <v>248</v>
      </c>
      <c r="B252" s="7">
        <f t="shared" si="37"/>
        <v>391.56012478955631</v>
      </c>
      <c r="C252" s="7">
        <f t="shared" si="33"/>
        <v>197.90343381298416</v>
      </c>
      <c r="D252" s="7">
        <f t="shared" si="34"/>
        <v>193.65669097657218</v>
      </c>
      <c r="E252" s="7">
        <f>SUM(C$5:C252)</f>
        <v>72577.803666910928</v>
      </c>
      <c r="F252" s="7">
        <f>SUM(D$5:D252)</f>
        <v>24529.107280899101</v>
      </c>
      <c r="G252" s="7">
        <f>$D$1-'Amort Schedule - Investor'!F252</f>
        <v>31470.892719100899</v>
      </c>
      <c r="H252" s="11">
        <f t="shared" si="35"/>
        <v>0.56198022712680173</v>
      </c>
      <c r="J252" s="127">
        <f t="shared" si="38"/>
        <v>280</v>
      </c>
      <c r="K252" s="127">
        <f t="shared" si="39"/>
        <v>69440</v>
      </c>
      <c r="L252" s="7">
        <f t="shared" si="40"/>
        <v>111.56012478955631</v>
      </c>
      <c r="M252" s="7">
        <f t="shared" si="41"/>
        <v>27666.910947810044</v>
      </c>
      <c r="N252" s="7">
        <f t="shared" si="42"/>
        <v>-82.096566187015839</v>
      </c>
      <c r="O252" s="7">
        <f t="shared" si="43"/>
        <v>3137.8036669108678</v>
      </c>
    </row>
    <row r="253" spans="1:15" x14ac:dyDescent="0.2">
      <c r="A253">
        <f t="shared" si="36"/>
        <v>249</v>
      </c>
      <c r="B253" s="7">
        <f t="shared" si="37"/>
        <v>391.56012478955631</v>
      </c>
      <c r="C253" s="7">
        <f t="shared" si="33"/>
        <v>196.69307949438058</v>
      </c>
      <c r="D253" s="7">
        <f t="shared" si="34"/>
        <v>194.86704529517576</v>
      </c>
      <c r="E253" s="7">
        <f>SUM(C$5:C253)</f>
        <v>72774.496746405304</v>
      </c>
      <c r="F253" s="7">
        <f>SUM(D$5:D253)</f>
        <v>24723.974326194279</v>
      </c>
      <c r="G253" s="7">
        <f>$D$1-'Amort Schedule - Investor'!F253</f>
        <v>31276.025673805721</v>
      </c>
      <c r="H253" s="11">
        <f t="shared" si="35"/>
        <v>0.55850045846081642</v>
      </c>
      <c r="J253" s="127">
        <f t="shared" si="38"/>
        <v>280</v>
      </c>
      <c r="K253" s="127">
        <f t="shared" si="39"/>
        <v>69720</v>
      </c>
      <c r="L253" s="7">
        <f t="shared" si="40"/>
        <v>111.56012478955631</v>
      </c>
      <c r="M253" s="7">
        <f t="shared" si="41"/>
        <v>27778.471072599601</v>
      </c>
      <c r="N253" s="7">
        <f t="shared" si="42"/>
        <v>-83.306920505619416</v>
      </c>
      <c r="O253" s="7">
        <f t="shared" si="43"/>
        <v>3054.4967464052484</v>
      </c>
    </row>
    <row r="254" spans="1:15" x14ac:dyDescent="0.2">
      <c r="A254">
        <f t="shared" si="36"/>
        <v>250</v>
      </c>
      <c r="B254" s="7">
        <f t="shared" si="37"/>
        <v>391.56012478955631</v>
      </c>
      <c r="C254" s="7">
        <f t="shared" si="33"/>
        <v>195.47516046128572</v>
      </c>
      <c r="D254" s="7">
        <f t="shared" si="34"/>
        <v>196.08496432827059</v>
      </c>
      <c r="E254" s="7">
        <f>SUM(C$5:C254)</f>
        <v>72969.971906866587</v>
      </c>
      <c r="F254" s="7">
        <f>SUM(D$5:D254)</f>
        <v>24920.059290522549</v>
      </c>
      <c r="G254" s="7">
        <f>$D$1-'Amort Schedule - Investor'!F254</f>
        <v>31079.940709477451</v>
      </c>
      <c r="H254" s="11">
        <f t="shared" si="35"/>
        <v>0.55499894124066873</v>
      </c>
      <c r="J254" s="127">
        <f t="shared" si="38"/>
        <v>280</v>
      </c>
      <c r="K254" s="127">
        <f t="shared" si="39"/>
        <v>70000</v>
      </c>
      <c r="L254" s="7">
        <f t="shared" si="40"/>
        <v>111.56012478955631</v>
      </c>
      <c r="M254" s="7">
        <f t="shared" si="41"/>
        <v>27890.031197389158</v>
      </c>
      <c r="N254" s="7">
        <f t="shared" si="42"/>
        <v>-84.524839538714275</v>
      </c>
      <c r="O254" s="7">
        <f t="shared" si="43"/>
        <v>2969.971906866534</v>
      </c>
    </row>
    <row r="255" spans="1:15" x14ac:dyDescent="0.2">
      <c r="A255">
        <f t="shared" si="36"/>
        <v>251</v>
      </c>
      <c r="B255" s="7">
        <f t="shared" si="37"/>
        <v>391.56012478955631</v>
      </c>
      <c r="C255" s="7">
        <f t="shared" si="33"/>
        <v>194.24962943423404</v>
      </c>
      <c r="D255" s="7">
        <f t="shared" si="34"/>
        <v>197.31049535532225</v>
      </c>
      <c r="E255" s="7">
        <f>SUM(C$5:C255)</f>
        <v>73164.221536300814</v>
      </c>
      <c r="F255" s="7">
        <f>SUM(D$5:D255)</f>
        <v>25117.369785877872</v>
      </c>
      <c r="G255" s="7">
        <f>$D$1-'Amort Schedule - Investor'!F255</f>
        <v>30882.630214122128</v>
      </c>
      <c r="H255" s="11">
        <f t="shared" si="35"/>
        <v>0.55147553953789519</v>
      </c>
      <c r="J255" s="127">
        <f t="shared" si="38"/>
        <v>280</v>
      </c>
      <c r="K255" s="127">
        <f t="shared" si="39"/>
        <v>70280</v>
      </c>
      <c r="L255" s="7">
        <f t="shared" si="40"/>
        <v>111.56012478955631</v>
      </c>
      <c r="M255" s="7">
        <f t="shared" si="41"/>
        <v>28001.591322178716</v>
      </c>
      <c r="N255" s="7">
        <f t="shared" si="42"/>
        <v>-85.750370565765962</v>
      </c>
      <c r="O255" s="7">
        <f t="shared" si="43"/>
        <v>2884.2215363007681</v>
      </c>
    </row>
    <row r="256" spans="1:15" s="6" customFormat="1" x14ac:dyDescent="0.2">
      <c r="A256" s="6">
        <f t="shared" si="36"/>
        <v>252</v>
      </c>
      <c r="B256" s="128">
        <f t="shared" si="37"/>
        <v>391.56012478955631</v>
      </c>
      <c r="C256" s="128">
        <f t="shared" si="33"/>
        <v>193.01643883826327</v>
      </c>
      <c r="D256" s="128">
        <f t="shared" si="34"/>
        <v>198.54368595129304</v>
      </c>
      <c r="E256" s="128">
        <f>SUM(C$5:C256)</f>
        <v>73357.237975139084</v>
      </c>
      <c r="F256" s="128">
        <f>SUM(D$5:D256)</f>
        <v>25315.913471829164</v>
      </c>
      <c r="G256" s="128">
        <f>$D$1-'Amort Schedule - Investor'!F256</f>
        <v>30684.086528170836</v>
      </c>
      <c r="H256" s="124">
        <f t="shared" si="35"/>
        <v>0.54793011657447921</v>
      </c>
      <c r="J256" s="127">
        <f t="shared" si="38"/>
        <v>280</v>
      </c>
      <c r="K256" s="127">
        <f t="shared" si="39"/>
        <v>70560</v>
      </c>
      <c r="L256" s="7">
        <f t="shared" si="40"/>
        <v>111.56012478955631</v>
      </c>
      <c r="M256" s="7">
        <f t="shared" si="41"/>
        <v>28113.151446968273</v>
      </c>
      <c r="N256" s="7">
        <f t="shared" si="42"/>
        <v>-86.983561161736731</v>
      </c>
      <c r="O256" s="7">
        <f t="shared" si="43"/>
        <v>2797.2379751390313</v>
      </c>
    </row>
    <row r="257" spans="1:15" x14ac:dyDescent="0.2">
      <c r="A257">
        <f t="shared" si="36"/>
        <v>253</v>
      </c>
      <c r="B257" s="7">
        <f t="shared" si="37"/>
        <v>391.56012478955631</v>
      </c>
      <c r="C257" s="7">
        <f t="shared" si="33"/>
        <v>191.77554080106771</v>
      </c>
      <c r="D257" s="7">
        <f t="shared" si="34"/>
        <v>199.78458398848863</v>
      </c>
      <c r="E257" s="7">
        <f>SUM(C$5:C257)</f>
        <v>73549.013515940154</v>
      </c>
      <c r="F257" s="7">
        <f>SUM(D$5:D257)</f>
        <v>25515.698055817655</v>
      </c>
      <c r="G257" s="7">
        <f>$D$1-'Amort Schedule - Investor'!F257</f>
        <v>30484.301944182345</v>
      </c>
      <c r="H257" s="11">
        <f t="shared" si="35"/>
        <v>0.54436253471754192</v>
      </c>
      <c r="J257" s="127">
        <f t="shared" si="38"/>
        <v>280</v>
      </c>
      <c r="K257" s="127">
        <f t="shared" si="39"/>
        <v>70840</v>
      </c>
      <c r="L257" s="7">
        <f t="shared" si="40"/>
        <v>111.56012478955631</v>
      </c>
      <c r="M257" s="7">
        <f t="shared" si="41"/>
        <v>28224.711571757831</v>
      </c>
      <c r="N257" s="7">
        <f t="shared" si="42"/>
        <v>-88.224459198932294</v>
      </c>
      <c r="O257" s="7">
        <f t="shared" si="43"/>
        <v>2709.0135159400988</v>
      </c>
    </row>
    <row r="258" spans="1:15" x14ac:dyDescent="0.2">
      <c r="A258">
        <f t="shared" si="36"/>
        <v>254</v>
      </c>
      <c r="B258" s="7">
        <f t="shared" si="37"/>
        <v>391.56012478955631</v>
      </c>
      <c r="C258" s="7">
        <f t="shared" si="33"/>
        <v>190.52688715113968</v>
      </c>
      <c r="D258" s="7">
        <f t="shared" si="34"/>
        <v>201.03323763841669</v>
      </c>
      <c r="E258" s="7">
        <f>SUM(C$5:C258)</f>
        <v>73739.540403091291</v>
      </c>
      <c r="F258" s="7">
        <f>SUM(D$5:D258)</f>
        <v>25716.731293456072</v>
      </c>
      <c r="G258" s="7">
        <f>$D$1-'Amort Schedule - Investor'!F258</f>
        <v>30283.268706543928</v>
      </c>
      <c r="H258" s="11">
        <f t="shared" si="35"/>
        <v>0.54077265547399866</v>
      </c>
      <c r="J258" s="127">
        <f t="shared" si="38"/>
        <v>280</v>
      </c>
      <c r="K258" s="127">
        <f t="shared" si="39"/>
        <v>71120</v>
      </c>
      <c r="L258" s="7">
        <f t="shared" si="40"/>
        <v>111.56012478955631</v>
      </c>
      <c r="M258" s="7">
        <f t="shared" si="41"/>
        <v>28336.271696547388</v>
      </c>
      <c r="N258" s="7">
        <f t="shared" si="42"/>
        <v>-89.473112848860325</v>
      </c>
      <c r="O258" s="7">
        <f t="shared" si="43"/>
        <v>2619.5404030912387</v>
      </c>
    </row>
    <row r="259" spans="1:15" x14ac:dyDescent="0.2">
      <c r="A259">
        <f t="shared" si="36"/>
        <v>255</v>
      </c>
      <c r="B259" s="7">
        <f t="shared" si="37"/>
        <v>391.56012478955631</v>
      </c>
      <c r="C259" s="7">
        <f t="shared" si="33"/>
        <v>189.27042941589951</v>
      </c>
      <c r="D259" s="7">
        <f t="shared" si="34"/>
        <v>202.28969537365677</v>
      </c>
      <c r="E259" s="7">
        <f>SUM(C$5:C259)</f>
        <v>73928.810832507195</v>
      </c>
      <c r="F259" s="7">
        <f>SUM(D$5:D259)</f>
        <v>25919.020988829729</v>
      </c>
      <c r="G259" s="7">
        <f>$D$1-'Amort Schedule - Investor'!F259</f>
        <v>30080.979011170271</v>
      </c>
      <c r="H259" s="11">
        <f t="shared" si="35"/>
        <v>0.53716033948518338</v>
      </c>
      <c r="J259" s="127">
        <f t="shared" si="38"/>
        <v>280</v>
      </c>
      <c r="K259" s="127">
        <f t="shared" si="39"/>
        <v>71400</v>
      </c>
      <c r="L259" s="7">
        <f t="shared" si="40"/>
        <v>111.56012478955631</v>
      </c>
      <c r="M259" s="7">
        <f t="shared" si="41"/>
        <v>28447.831821336946</v>
      </c>
      <c r="N259" s="7">
        <f t="shared" si="42"/>
        <v>-90.729570584100486</v>
      </c>
      <c r="O259" s="7">
        <f t="shared" si="43"/>
        <v>2528.810832507138</v>
      </c>
    </row>
    <row r="260" spans="1:15" x14ac:dyDescent="0.2">
      <c r="A260">
        <f t="shared" si="36"/>
        <v>256</v>
      </c>
      <c r="B260" s="7">
        <f t="shared" si="37"/>
        <v>391.56012478955631</v>
      </c>
      <c r="C260" s="7">
        <f t="shared" si="33"/>
        <v>188.00611881981419</v>
      </c>
      <c r="D260" s="7">
        <f t="shared" si="34"/>
        <v>203.55400596974218</v>
      </c>
      <c r="E260" s="7">
        <f>SUM(C$5:C260)</f>
        <v>74116.816951327011</v>
      </c>
      <c r="F260" s="7">
        <f>SUM(D$5:D260)</f>
        <v>26122.57499479947</v>
      </c>
      <c r="G260" s="7">
        <f>$D$1-'Amort Schedule - Investor'!F260</f>
        <v>29877.42500520053</v>
      </c>
      <c r="H260" s="11">
        <f t="shared" si="35"/>
        <v>0.53352544652143807</v>
      </c>
      <c r="J260" s="127">
        <f t="shared" si="38"/>
        <v>280</v>
      </c>
      <c r="K260" s="127">
        <f t="shared" si="39"/>
        <v>71680</v>
      </c>
      <c r="L260" s="7">
        <f t="shared" si="40"/>
        <v>111.56012478955631</v>
      </c>
      <c r="M260" s="7">
        <f t="shared" si="41"/>
        <v>28559.391946126503</v>
      </c>
      <c r="N260" s="7">
        <f t="shared" si="42"/>
        <v>-91.993881180185809</v>
      </c>
      <c r="O260" s="7">
        <f t="shared" si="43"/>
        <v>2436.8169513269522</v>
      </c>
    </row>
    <row r="261" spans="1:15" x14ac:dyDescent="0.2">
      <c r="A261">
        <f t="shared" si="36"/>
        <v>257</v>
      </c>
      <c r="B261" s="7">
        <f t="shared" si="37"/>
        <v>391.56012478955631</v>
      </c>
      <c r="C261" s="7">
        <f t="shared" si="33"/>
        <v>186.73390628250328</v>
      </c>
      <c r="D261" s="7">
        <f t="shared" si="34"/>
        <v>204.82621850705303</v>
      </c>
      <c r="E261" s="7">
        <f>SUM(C$5:C261)</f>
        <v>74303.550857609516</v>
      </c>
      <c r="F261" s="7">
        <f>SUM(D$5:D261)</f>
        <v>26327.401213306523</v>
      </c>
      <c r="G261" s="7">
        <f>$D$1-'Amort Schedule - Investor'!F261</f>
        <v>29672.598786693477</v>
      </c>
      <c r="H261" s="11">
        <f t="shared" si="35"/>
        <v>0.52986783547666927</v>
      </c>
      <c r="J261" s="127">
        <f t="shared" si="38"/>
        <v>280</v>
      </c>
      <c r="K261" s="127">
        <f t="shared" si="39"/>
        <v>71960</v>
      </c>
      <c r="L261" s="7">
        <f t="shared" si="40"/>
        <v>111.56012478955631</v>
      </c>
      <c r="M261" s="7">
        <f t="shared" si="41"/>
        <v>28670.952070916061</v>
      </c>
      <c r="N261" s="7">
        <f t="shared" si="42"/>
        <v>-93.266093717496716</v>
      </c>
      <c r="O261" s="7">
        <f t="shared" si="43"/>
        <v>2343.5508576094553</v>
      </c>
    </row>
    <row r="262" spans="1:15" x14ac:dyDescent="0.2">
      <c r="A262">
        <f t="shared" si="36"/>
        <v>258</v>
      </c>
      <c r="B262" s="7">
        <f t="shared" si="37"/>
        <v>391.56012478955631</v>
      </c>
      <c r="C262" s="7">
        <f t="shared" ref="C262:C325" si="44">-IPMT($D$2/12,A262,$D$3,$D$1)</f>
        <v>185.45374241683422</v>
      </c>
      <c r="D262" s="7">
        <f t="shared" ref="D262:D325" si="45">-PPMT($D$2/12,A262,$D$3,$D$1)</f>
        <v>206.10638237272212</v>
      </c>
      <c r="E262" s="7">
        <f>SUM(C$5:C262)</f>
        <v>74489.004600026354</v>
      </c>
      <c r="F262" s="7">
        <f>SUM(D$5:D262)</f>
        <v>26533.507595679246</v>
      </c>
      <c r="G262" s="7">
        <f>$D$1-'Amort Schedule - Investor'!F262</f>
        <v>29466.492404320754</v>
      </c>
      <c r="H262" s="11">
        <f t="shared" ref="H262:H325" si="46">G262/$D$1</f>
        <v>0.52618736436287061</v>
      </c>
      <c r="J262" s="127">
        <f t="shared" si="38"/>
        <v>280</v>
      </c>
      <c r="K262" s="127">
        <f t="shared" si="39"/>
        <v>72240</v>
      </c>
      <c r="L262" s="7">
        <f t="shared" si="40"/>
        <v>111.56012478955631</v>
      </c>
      <c r="M262" s="7">
        <f t="shared" si="41"/>
        <v>28782.512195705618</v>
      </c>
      <c r="N262" s="7">
        <f t="shared" si="42"/>
        <v>-94.546257583165783</v>
      </c>
      <c r="O262" s="7">
        <f t="shared" si="43"/>
        <v>2249.0046000262896</v>
      </c>
    </row>
    <row r="263" spans="1:15" x14ac:dyDescent="0.2">
      <c r="A263">
        <f t="shared" ref="A263:A326" si="47">A262+1</f>
        <v>259</v>
      </c>
      <c r="B263" s="7">
        <f t="shared" ref="B263:B326" si="48">B262</f>
        <v>391.56012478955631</v>
      </c>
      <c r="C263" s="7">
        <f t="shared" si="44"/>
        <v>184.1655775270047</v>
      </c>
      <c r="D263" s="7">
        <f t="shared" si="45"/>
        <v>207.39454726255164</v>
      </c>
      <c r="E263" s="7">
        <f>SUM(C$5:C263)</f>
        <v>74673.170177553358</v>
      </c>
      <c r="F263" s="7">
        <f>SUM(D$5:D263)</f>
        <v>26740.902142941799</v>
      </c>
      <c r="G263" s="7">
        <f>$D$1-'Amort Schedule - Investor'!F263</f>
        <v>29259.097857058201</v>
      </c>
      <c r="H263" s="11">
        <f t="shared" si="46"/>
        <v>0.52248389030461073</v>
      </c>
      <c r="J263" s="127">
        <f t="shared" ref="J263:J326" si="49">J262</f>
        <v>280</v>
      </c>
      <c r="K263" s="127">
        <f t="shared" ref="K263:K326" si="50">J263+K262</f>
        <v>72520</v>
      </c>
      <c r="L263" s="7">
        <f t="shared" ref="L263:L326" si="51">B263-J263</f>
        <v>111.56012478955631</v>
      </c>
      <c r="M263" s="7">
        <f t="shared" ref="M263:M326" si="52">M262+L263</f>
        <v>28894.072320495176</v>
      </c>
      <c r="N263" s="7">
        <f t="shared" ref="N263:N326" si="53">C263-J263</f>
        <v>-95.8344224729953</v>
      </c>
      <c r="O263" s="7">
        <f t="shared" ref="O263:O326" si="54">O262+N263</f>
        <v>2153.1701775532943</v>
      </c>
    </row>
    <row r="264" spans="1:15" x14ac:dyDescent="0.2">
      <c r="A264">
        <f t="shared" si="47"/>
        <v>260</v>
      </c>
      <c r="B264" s="7">
        <f t="shared" si="48"/>
        <v>391.56012478955631</v>
      </c>
      <c r="C264" s="7">
        <f t="shared" si="44"/>
        <v>182.86936160661375</v>
      </c>
      <c r="D264" s="7">
        <f t="shared" si="45"/>
        <v>208.69076318294259</v>
      </c>
      <c r="E264" s="7">
        <f>SUM(C$5:C264)</f>
        <v>74856.039539159974</v>
      </c>
      <c r="F264" s="7">
        <f>SUM(D$5:D264)</f>
        <v>26949.592906124741</v>
      </c>
      <c r="G264" s="7">
        <f>$D$1-'Amort Schedule - Investor'!F264</f>
        <v>29050.407093875259</v>
      </c>
      <c r="H264" s="11">
        <f t="shared" si="46"/>
        <v>0.51875726953348678</v>
      </c>
      <c r="J264" s="127">
        <f t="shared" si="49"/>
        <v>280</v>
      </c>
      <c r="K264" s="127">
        <f t="shared" si="50"/>
        <v>72800</v>
      </c>
      <c r="L264" s="7">
        <f t="shared" si="51"/>
        <v>111.56012478955631</v>
      </c>
      <c r="M264" s="7">
        <f t="shared" si="52"/>
        <v>29005.632445284733</v>
      </c>
      <c r="N264" s="7">
        <f t="shared" si="53"/>
        <v>-97.130638393386249</v>
      </c>
      <c r="O264" s="7">
        <f t="shared" si="54"/>
        <v>2056.0395391599081</v>
      </c>
    </row>
    <row r="265" spans="1:15" x14ac:dyDescent="0.2">
      <c r="A265">
        <f t="shared" si="47"/>
        <v>261</v>
      </c>
      <c r="B265" s="7">
        <f t="shared" si="48"/>
        <v>391.56012478955631</v>
      </c>
      <c r="C265" s="7">
        <f t="shared" si="44"/>
        <v>181.56504433672038</v>
      </c>
      <c r="D265" s="7">
        <f t="shared" si="45"/>
        <v>209.99508045283594</v>
      </c>
      <c r="E265" s="7">
        <f>SUM(C$5:C265)</f>
        <v>75037.604583496694</v>
      </c>
      <c r="F265" s="7">
        <f>SUM(D$5:D265)</f>
        <v>27159.587986577575</v>
      </c>
      <c r="G265" s="7">
        <f>$D$1-'Amort Schedule - Investor'!F265</f>
        <v>28840.412013422425</v>
      </c>
      <c r="H265" s="11">
        <f t="shared" si="46"/>
        <v>0.51500735738254333</v>
      </c>
      <c r="J265" s="127">
        <f t="shared" si="49"/>
        <v>280</v>
      </c>
      <c r="K265" s="127">
        <f t="shared" si="50"/>
        <v>73080</v>
      </c>
      <c r="L265" s="7">
        <f t="shared" si="51"/>
        <v>111.56012478955631</v>
      </c>
      <c r="M265" s="7">
        <f t="shared" si="52"/>
        <v>29117.19257007429</v>
      </c>
      <c r="N265" s="7">
        <f t="shared" si="53"/>
        <v>-98.434955663279624</v>
      </c>
      <c r="O265" s="7">
        <f t="shared" si="54"/>
        <v>1957.6045834966285</v>
      </c>
    </row>
    <row r="266" spans="1:15" x14ac:dyDescent="0.2">
      <c r="A266">
        <f t="shared" si="47"/>
        <v>262</v>
      </c>
      <c r="B266" s="7">
        <f t="shared" si="48"/>
        <v>391.56012478955631</v>
      </c>
      <c r="C266" s="7">
        <f t="shared" si="44"/>
        <v>180.25257508389015</v>
      </c>
      <c r="D266" s="7">
        <f t="shared" si="45"/>
        <v>211.30754970566622</v>
      </c>
      <c r="E266" s="7">
        <f>SUM(C$5:C266)</f>
        <v>75217.857158580577</v>
      </c>
      <c r="F266" s="7">
        <f>SUM(D$5:D266)</f>
        <v>27370.895536283242</v>
      </c>
      <c r="G266" s="7">
        <f>$D$1-'Amort Schedule - Investor'!F266</f>
        <v>28629.104463716758</v>
      </c>
      <c r="H266" s="11">
        <f t="shared" si="46"/>
        <v>0.51123400828065635</v>
      </c>
      <c r="J266" s="127">
        <f t="shared" si="49"/>
        <v>280</v>
      </c>
      <c r="K266" s="127">
        <f t="shared" si="50"/>
        <v>73360</v>
      </c>
      <c r="L266" s="7">
        <f t="shared" si="51"/>
        <v>111.56012478955631</v>
      </c>
      <c r="M266" s="7">
        <f t="shared" si="52"/>
        <v>29228.752694863848</v>
      </c>
      <c r="N266" s="7">
        <f t="shared" si="53"/>
        <v>-99.74742491610985</v>
      </c>
      <c r="O266" s="7">
        <f t="shared" si="54"/>
        <v>1857.8571585805187</v>
      </c>
    </row>
    <row r="267" spans="1:15" x14ac:dyDescent="0.2">
      <c r="A267">
        <f t="shared" si="47"/>
        <v>263</v>
      </c>
      <c r="B267" s="7">
        <f t="shared" si="48"/>
        <v>391.56012478955631</v>
      </c>
      <c r="C267" s="7">
        <f t="shared" si="44"/>
        <v>178.93190289822974</v>
      </c>
      <c r="D267" s="7">
        <f t="shared" si="45"/>
        <v>212.62822189132655</v>
      </c>
      <c r="E267" s="7">
        <f>SUM(C$5:C267)</f>
        <v>75396.789061478805</v>
      </c>
      <c r="F267" s="7">
        <f>SUM(D$5:D267)</f>
        <v>27583.523758174568</v>
      </c>
      <c r="G267" s="7">
        <f>$D$1-'Amort Schedule - Investor'!F267</f>
        <v>28416.476241825432</v>
      </c>
      <c r="H267" s="11">
        <f t="shared" si="46"/>
        <v>0.50743707574688268</v>
      </c>
      <c r="J267" s="127">
        <f t="shared" si="49"/>
        <v>280</v>
      </c>
      <c r="K267" s="127">
        <f t="shared" si="50"/>
        <v>73640</v>
      </c>
      <c r="L267" s="7">
        <f t="shared" si="51"/>
        <v>111.56012478955631</v>
      </c>
      <c r="M267" s="7">
        <f t="shared" si="52"/>
        <v>29340.312819653405</v>
      </c>
      <c r="N267" s="7">
        <f t="shared" si="53"/>
        <v>-101.06809710177026</v>
      </c>
      <c r="O267" s="7">
        <f t="shared" si="54"/>
        <v>1756.7890614787484</v>
      </c>
    </row>
    <row r="268" spans="1:15" s="6" customFormat="1" x14ac:dyDescent="0.2">
      <c r="A268" s="6">
        <f t="shared" si="47"/>
        <v>264</v>
      </c>
      <c r="B268" s="128">
        <f t="shared" si="48"/>
        <v>391.56012478955631</v>
      </c>
      <c r="C268" s="128">
        <f t="shared" si="44"/>
        <v>177.60297651140897</v>
      </c>
      <c r="D268" s="128">
        <f t="shared" si="45"/>
        <v>213.9571482781474</v>
      </c>
      <c r="E268" s="128">
        <f>SUM(C$5:C268)</f>
        <v>75574.392037990212</v>
      </c>
      <c r="F268" s="128">
        <f>SUM(D$5:D268)</f>
        <v>27797.480906452714</v>
      </c>
      <c r="G268" s="128">
        <f>$D$1-'Amort Schedule - Investor'!F268</f>
        <v>28202.519093547286</v>
      </c>
      <c r="H268" s="124">
        <f t="shared" si="46"/>
        <v>0.50361641238477295</v>
      </c>
      <c r="J268" s="127">
        <f t="shared" si="49"/>
        <v>280</v>
      </c>
      <c r="K268" s="127">
        <f t="shared" si="50"/>
        <v>73920</v>
      </c>
      <c r="L268" s="7">
        <f t="shared" si="51"/>
        <v>111.56012478955631</v>
      </c>
      <c r="M268" s="7">
        <f t="shared" si="52"/>
        <v>29451.872944442963</v>
      </c>
      <c r="N268" s="7">
        <f t="shared" si="53"/>
        <v>-102.39702348859103</v>
      </c>
      <c r="O268" s="7">
        <f t="shared" si="54"/>
        <v>1654.3920379901574</v>
      </c>
    </row>
    <row r="269" spans="1:15" x14ac:dyDescent="0.2">
      <c r="A269">
        <f t="shared" si="47"/>
        <v>265</v>
      </c>
      <c r="B269" s="7">
        <f t="shared" si="48"/>
        <v>391.56012478955631</v>
      </c>
      <c r="C269" s="7">
        <f t="shared" si="44"/>
        <v>176.2657443346705</v>
      </c>
      <c r="D269" s="7">
        <f t="shared" si="45"/>
        <v>215.29438045488581</v>
      </c>
      <c r="E269" s="7">
        <f>SUM(C$5:C269)</f>
        <v>75750.657782324881</v>
      </c>
      <c r="F269" s="7">
        <f>SUM(D$5:D269)</f>
        <v>28012.775286907599</v>
      </c>
      <c r="G269" s="7">
        <f>$D$1-'Amort Schedule - Investor'!F269</f>
        <v>27987.224713092401</v>
      </c>
      <c r="H269" s="11">
        <f t="shared" si="46"/>
        <v>0.49977186987665001</v>
      </c>
      <c r="J269" s="127">
        <f t="shared" si="49"/>
        <v>280</v>
      </c>
      <c r="K269" s="127">
        <f t="shared" si="50"/>
        <v>74200</v>
      </c>
      <c r="L269" s="7">
        <f t="shared" si="51"/>
        <v>111.56012478955631</v>
      </c>
      <c r="M269" s="7">
        <f t="shared" si="52"/>
        <v>29563.43306923252</v>
      </c>
      <c r="N269" s="7">
        <f t="shared" si="53"/>
        <v>-103.7342556653295</v>
      </c>
      <c r="O269" s="7">
        <f t="shared" si="54"/>
        <v>1550.6577823248278</v>
      </c>
    </row>
    <row r="270" spans="1:15" x14ac:dyDescent="0.2">
      <c r="A270">
        <f t="shared" si="47"/>
        <v>266</v>
      </c>
      <c r="B270" s="7">
        <f t="shared" si="48"/>
        <v>391.56012478955631</v>
      </c>
      <c r="C270" s="7">
        <f t="shared" si="44"/>
        <v>174.9201544568275</v>
      </c>
      <c r="D270" s="7">
        <f t="shared" si="45"/>
        <v>216.63997033272889</v>
      </c>
      <c r="E270" s="7">
        <f>SUM(C$5:C270)</f>
        <v>75925.577936781701</v>
      </c>
      <c r="F270" s="7">
        <f>SUM(D$5:D270)</f>
        <v>28229.415257240329</v>
      </c>
      <c r="G270" s="7">
        <f>$D$1-'Amort Schedule - Investor'!F270</f>
        <v>27770.584742759671</v>
      </c>
      <c r="H270" s="11">
        <f t="shared" si="46"/>
        <v>0.49590329897785129</v>
      </c>
      <c r="J270" s="127">
        <f t="shared" si="49"/>
        <v>280</v>
      </c>
      <c r="K270" s="127">
        <f t="shared" si="50"/>
        <v>74480</v>
      </c>
      <c r="L270" s="7">
        <f t="shared" si="51"/>
        <v>111.56012478955631</v>
      </c>
      <c r="M270" s="7">
        <f t="shared" si="52"/>
        <v>29674.993194022078</v>
      </c>
      <c r="N270" s="7">
        <f t="shared" si="53"/>
        <v>-105.0798455431725</v>
      </c>
      <c r="O270" s="7">
        <f t="shared" si="54"/>
        <v>1445.5779367816554</v>
      </c>
    </row>
    <row r="271" spans="1:15" x14ac:dyDescent="0.2">
      <c r="A271">
        <f t="shared" si="47"/>
        <v>267</v>
      </c>
      <c r="B271" s="7">
        <f t="shared" si="48"/>
        <v>391.56012478955631</v>
      </c>
      <c r="C271" s="7">
        <f t="shared" si="44"/>
        <v>173.56615464224791</v>
      </c>
      <c r="D271" s="7">
        <f t="shared" si="45"/>
        <v>217.99397014730843</v>
      </c>
      <c r="E271" s="7">
        <f>SUM(C$5:C271)</f>
        <v>76099.14409142395</v>
      </c>
      <c r="F271" s="7">
        <f>SUM(D$5:D271)</f>
        <v>28447.409227387638</v>
      </c>
      <c r="G271" s="7">
        <f>$D$1-'Amort Schedule - Investor'!F271</f>
        <v>27552.590772612362</v>
      </c>
      <c r="H271" s="11">
        <f t="shared" si="46"/>
        <v>0.49201054951093504</v>
      </c>
      <c r="J271" s="127">
        <f t="shared" si="49"/>
        <v>280</v>
      </c>
      <c r="K271" s="127">
        <f t="shared" si="50"/>
        <v>74760</v>
      </c>
      <c r="L271" s="7">
        <f t="shared" si="51"/>
        <v>111.56012478955631</v>
      </c>
      <c r="M271" s="7">
        <f t="shared" si="52"/>
        <v>29786.553318811635</v>
      </c>
      <c r="N271" s="7">
        <f t="shared" si="53"/>
        <v>-106.43384535775209</v>
      </c>
      <c r="O271" s="7">
        <f t="shared" si="54"/>
        <v>1339.1440914239033</v>
      </c>
    </row>
    <row r="272" spans="1:15" x14ac:dyDescent="0.2">
      <c r="A272">
        <f t="shared" si="47"/>
        <v>268</v>
      </c>
      <c r="B272" s="7">
        <f t="shared" si="48"/>
        <v>391.56012478955631</v>
      </c>
      <c r="C272" s="7">
        <f t="shared" si="44"/>
        <v>172.20369232882726</v>
      </c>
      <c r="D272" s="7">
        <f t="shared" si="45"/>
        <v>219.35643246072908</v>
      </c>
      <c r="E272" s="7">
        <f>SUM(C$5:C272)</f>
        <v>76271.347783752775</v>
      </c>
      <c r="F272" s="7">
        <f>SUM(D$5:D272)</f>
        <v>28666.765659848366</v>
      </c>
      <c r="G272" s="7">
        <f>$D$1-'Amort Schedule - Investor'!F272</f>
        <v>27333.234340151634</v>
      </c>
      <c r="H272" s="11">
        <f t="shared" si="46"/>
        <v>0.48809347035985062</v>
      </c>
      <c r="J272" s="127">
        <f t="shared" si="49"/>
        <v>280</v>
      </c>
      <c r="K272" s="127">
        <f t="shared" si="50"/>
        <v>75040</v>
      </c>
      <c r="L272" s="7">
        <f t="shared" si="51"/>
        <v>111.56012478955631</v>
      </c>
      <c r="M272" s="7">
        <f t="shared" si="52"/>
        <v>29898.113443601193</v>
      </c>
      <c r="N272" s="7">
        <f t="shared" si="53"/>
        <v>-107.79630767117274</v>
      </c>
      <c r="O272" s="7">
        <f t="shared" si="54"/>
        <v>1231.3477837527305</v>
      </c>
    </row>
    <row r="273" spans="1:15" x14ac:dyDescent="0.2">
      <c r="A273">
        <f t="shared" si="47"/>
        <v>269</v>
      </c>
      <c r="B273" s="7">
        <f t="shared" si="48"/>
        <v>391.56012478955631</v>
      </c>
      <c r="C273" s="7">
        <f t="shared" si="44"/>
        <v>170.83271462594772</v>
      </c>
      <c r="D273" s="7">
        <f t="shared" si="45"/>
        <v>220.72741016360868</v>
      </c>
      <c r="E273" s="7">
        <f>SUM(C$5:C273)</f>
        <v>76442.18049837873</v>
      </c>
      <c r="F273" s="7">
        <f>SUM(D$5:D273)</f>
        <v>28887.493070011977</v>
      </c>
      <c r="G273" s="7">
        <f>$D$1-'Amort Schedule - Investor'!F273</f>
        <v>27112.506929988023</v>
      </c>
      <c r="H273" s="11">
        <f t="shared" si="46"/>
        <v>0.48415190946407183</v>
      </c>
      <c r="J273" s="127">
        <f t="shared" si="49"/>
        <v>280</v>
      </c>
      <c r="K273" s="127">
        <f t="shared" si="50"/>
        <v>75320</v>
      </c>
      <c r="L273" s="7">
        <f t="shared" si="51"/>
        <v>111.56012478955631</v>
      </c>
      <c r="M273" s="7">
        <f t="shared" si="52"/>
        <v>30009.67356839075</v>
      </c>
      <c r="N273" s="7">
        <f t="shared" si="53"/>
        <v>-109.16728537405228</v>
      </c>
      <c r="O273" s="7">
        <f t="shared" si="54"/>
        <v>1122.1804983786783</v>
      </c>
    </row>
    <row r="274" spans="1:15" x14ac:dyDescent="0.2">
      <c r="A274">
        <f t="shared" si="47"/>
        <v>270</v>
      </c>
      <c r="B274" s="7">
        <f t="shared" si="48"/>
        <v>391.56012478955631</v>
      </c>
      <c r="C274" s="7">
        <f t="shared" si="44"/>
        <v>169.45316831242513</v>
      </c>
      <c r="D274" s="7">
        <f t="shared" si="45"/>
        <v>222.10695647713118</v>
      </c>
      <c r="E274" s="7">
        <f>SUM(C$5:C274)</f>
        <v>76611.633666691152</v>
      </c>
      <c r="F274" s="7">
        <f>SUM(D$5:D274)</f>
        <v>29109.600026489108</v>
      </c>
      <c r="G274" s="7">
        <f>$D$1-'Amort Schedule - Investor'!F274</f>
        <v>26890.399973510892</v>
      </c>
      <c r="H274" s="11">
        <f t="shared" si="46"/>
        <v>0.48018571381269448</v>
      </c>
      <c r="J274" s="127">
        <f t="shared" si="49"/>
        <v>280</v>
      </c>
      <c r="K274" s="127">
        <f t="shared" si="50"/>
        <v>75600</v>
      </c>
      <c r="L274" s="7">
        <f t="shared" si="51"/>
        <v>111.56012478955631</v>
      </c>
      <c r="M274" s="7">
        <f t="shared" si="52"/>
        <v>30121.233693180307</v>
      </c>
      <c r="N274" s="7">
        <f t="shared" si="53"/>
        <v>-110.54683168757487</v>
      </c>
      <c r="O274" s="7">
        <f t="shared" si="54"/>
        <v>1011.6336666911034</v>
      </c>
    </row>
    <row r="275" spans="1:15" x14ac:dyDescent="0.2">
      <c r="A275">
        <f t="shared" si="47"/>
        <v>271</v>
      </c>
      <c r="B275" s="7">
        <f t="shared" si="48"/>
        <v>391.56012478955631</v>
      </c>
      <c r="C275" s="7">
        <f t="shared" si="44"/>
        <v>168.06499983444306</v>
      </c>
      <c r="D275" s="7">
        <f t="shared" si="45"/>
        <v>223.49512495511325</v>
      </c>
      <c r="E275" s="7">
        <f>SUM(C$5:C275)</f>
        <v>76779.698666525597</v>
      </c>
      <c r="F275" s="7">
        <f>SUM(D$5:D275)</f>
        <v>29333.09515144422</v>
      </c>
      <c r="G275" s="7">
        <f>$D$1-'Amort Schedule - Investor'!F275</f>
        <v>26666.90484855578</v>
      </c>
      <c r="H275" s="11">
        <f t="shared" si="46"/>
        <v>0.47619472943849606</v>
      </c>
      <c r="J275" s="127">
        <f t="shared" si="49"/>
        <v>280</v>
      </c>
      <c r="K275" s="127">
        <f t="shared" si="50"/>
        <v>75880</v>
      </c>
      <c r="L275" s="7">
        <f t="shared" si="51"/>
        <v>111.56012478955631</v>
      </c>
      <c r="M275" s="7">
        <f t="shared" si="52"/>
        <v>30232.793817969865</v>
      </c>
      <c r="N275" s="7">
        <f t="shared" si="53"/>
        <v>-111.93500016555694</v>
      </c>
      <c r="O275" s="7">
        <f t="shared" si="54"/>
        <v>899.6986665255464</v>
      </c>
    </row>
    <row r="276" spans="1:15" x14ac:dyDescent="0.2">
      <c r="A276">
        <f t="shared" si="47"/>
        <v>272</v>
      </c>
      <c r="B276" s="7">
        <f t="shared" si="48"/>
        <v>391.56012478955631</v>
      </c>
      <c r="C276" s="7">
        <f t="shared" si="44"/>
        <v>166.66815530347358</v>
      </c>
      <c r="D276" s="7">
        <f t="shared" si="45"/>
        <v>224.89196948608273</v>
      </c>
      <c r="E276" s="7">
        <f>SUM(C$5:C276)</f>
        <v>76946.36682182907</v>
      </c>
      <c r="F276" s="7">
        <f>SUM(D$5:D276)</f>
        <v>29557.987120930302</v>
      </c>
      <c r="G276" s="7">
        <f>$D$1-'Amort Schedule - Investor'!F276</f>
        <v>26442.012879069698</v>
      </c>
      <c r="H276" s="11">
        <f t="shared" si="46"/>
        <v>0.47217880141195889</v>
      </c>
      <c r="J276" s="127">
        <f t="shared" si="49"/>
        <v>280</v>
      </c>
      <c r="K276" s="127">
        <f t="shared" si="50"/>
        <v>76160</v>
      </c>
      <c r="L276" s="7">
        <f t="shared" si="51"/>
        <v>111.56012478955631</v>
      </c>
      <c r="M276" s="7">
        <f t="shared" si="52"/>
        <v>30344.353942759422</v>
      </c>
      <c r="N276" s="7">
        <f t="shared" si="53"/>
        <v>-113.33184469652642</v>
      </c>
      <c r="O276" s="7">
        <f t="shared" si="54"/>
        <v>786.36682182901995</v>
      </c>
    </row>
    <row r="277" spans="1:15" x14ac:dyDescent="0.2">
      <c r="A277">
        <f t="shared" si="47"/>
        <v>273</v>
      </c>
      <c r="B277" s="7">
        <f t="shared" si="48"/>
        <v>391.56012478955631</v>
      </c>
      <c r="C277" s="7">
        <f t="shared" si="44"/>
        <v>165.26258049418561</v>
      </c>
      <c r="D277" s="7">
        <f t="shared" si="45"/>
        <v>226.29754429537078</v>
      </c>
      <c r="E277" s="7">
        <f>SUM(C$5:C277)</f>
        <v>77111.629402323262</v>
      </c>
      <c r="F277" s="7">
        <f>SUM(D$5:D277)</f>
        <v>29784.284665225674</v>
      </c>
      <c r="G277" s="7">
        <f>$D$1-'Amort Schedule - Investor'!F277</f>
        <v>26215.715334774326</v>
      </c>
      <c r="H277" s="11">
        <f t="shared" si="46"/>
        <v>0.46813777383525584</v>
      </c>
      <c r="J277" s="127">
        <f t="shared" si="49"/>
        <v>280</v>
      </c>
      <c r="K277" s="127">
        <f t="shared" si="50"/>
        <v>76440</v>
      </c>
      <c r="L277" s="7">
        <f t="shared" si="51"/>
        <v>111.56012478955631</v>
      </c>
      <c r="M277" s="7">
        <f t="shared" si="52"/>
        <v>30455.91406754898</v>
      </c>
      <c r="N277" s="7">
        <f t="shared" si="53"/>
        <v>-114.73741950581439</v>
      </c>
      <c r="O277" s="7">
        <f t="shared" si="54"/>
        <v>671.62940232320557</v>
      </c>
    </row>
    <row r="278" spans="1:15" x14ac:dyDescent="0.2">
      <c r="A278">
        <f t="shared" si="47"/>
        <v>274</v>
      </c>
      <c r="B278" s="7">
        <f t="shared" si="48"/>
        <v>391.56012478955631</v>
      </c>
      <c r="C278" s="7">
        <f t="shared" si="44"/>
        <v>163.84822084233952</v>
      </c>
      <c r="D278" s="7">
        <f t="shared" si="45"/>
        <v>227.71190394721677</v>
      </c>
      <c r="E278" s="7">
        <f>SUM(C$5:C278)</f>
        <v>77275.4776231656</v>
      </c>
      <c r="F278" s="7">
        <f>SUM(D$5:D278)</f>
        <v>30011.99656917289</v>
      </c>
      <c r="G278" s="7">
        <f>$D$1-'Amort Schedule - Investor'!F278</f>
        <v>25988.00343082711</v>
      </c>
      <c r="H278" s="11">
        <f t="shared" si="46"/>
        <v>0.46407148983619839</v>
      </c>
      <c r="J278" s="127">
        <f t="shared" si="49"/>
        <v>280</v>
      </c>
      <c r="K278" s="127">
        <f t="shared" si="50"/>
        <v>76720</v>
      </c>
      <c r="L278" s="7">
        <f t="shared" si="51"/>
        <v>111.56012478955631</v>
      </c>
      <c r="M278" s="7">
        <f t="shared" si="52"/>
        <v>30567.474192338537</v>
      </c>
      <c r="N278" s="7">
        <f t="shared" si="53"/>
        <v>-116.15177915766048</v>
      </c>
      <c r="O278" s="7">
        <f t="shared" si="54"/>
        <v>555.47762316554508</v>
      </c>
    </row>
    <row r="279" spans="1:15" x14ac:dyDescent="0.2">
      <c r="A279">
        <f t="shared" si="47"/>
        <v>275</v>
      </c>
      <c r="B279" s="7">
        <f t="shared" si="48"/>
        <v>391.56012478955631</v>
      </c>
      <c r="C279" s="7">
        <f t="shared" si="44"/>
        <v>162.42502144266942</v>
      </c>
      <c r="D279" s="7">
        <f t="shared" si="45"/>
        <v>229.13510334688689</v>
      </c>
      <c r="E279" s="7">
        <f>SUM(C$5:C279)</f>
        <v>77437.902644608272</v>
      </c>
      <c r="F279" s="7">
        <f>SUM(D$5:D279)</f>
        <v>30241.131672519776</v>
      </c>
      <c r="G279" s="7">
        <f>$D$1-'Amort Schedule - Investor'!F279</f>
        <v>25758.868327480224</v>
      </c>
      <c r="H279" s="11">
        <f t="shared" si="46"/>
        <v>0.45997979156214686</v>
      </c>
      <c r="J279" s="127">
        <f t="shared" si="49"/>
        <v>280</v>
      </c>
      <c r="K279" s="127">
        <f t="shared" si="50"/>
        <v>77000</v>
      </c>
      <c r="L279" s="7">
        <f t="shared" si="51"/>
        <v>111.56012478955631</v>
      </c>
      <c r="M279" s="7">
        <f t="shared" si="52"/>
        <v>30679.034317128095</v>
      </c>
      <c r="N279" s="7">
        <f t="shared" si="53"/>
        <v>-117.57497855733058</v>
      </c>
      <c r="O279" s="7">
        <f t="shared" si="54"/>
        <v>437.90264460821447</v>
      </c>
    </row>
    <row r="280" spans="1:15" s="6" customFormat="1" x14ac:dyDescent="0.2">
      <c r="A280" s="6">
        <f t="shared" si="47"/>
        <v>276</v>
      </c>
      <c r="B280" s="128">
        <f t="shared" si="48"/>
        <v>391.56012478955631</v>
      </c>
      <c r="C280" s="128">
        <f t="shared" si="44"/>
        <v>160.99292704675136</v>
      </c>
      <c r="D280" s="128">
        <f t="shared" si="45"/>
        <v>230.56719774280495</v>
      </c>
      <c r="E280" s="128">
        <f>SUM(C$5:C280)</f>
        <v>77598.895571655026</v>
      </c>
      <c r="F280" s="128">
        <f>SUM(D$5:D280)</f>
        <v>30471.698870262582</v>
      </c>
      <c r="G280" s="128">
        <f>$D$1-'Amort Schedule - Investor'!F280</f>
        <v>25528.301129737418</v>
      </c>
      <c r="H280" s="124">
        <f t="shared" si="46"/>
        <v>0.45586252017388246</v>
      </c>
      <c r="J280" s="127">
        <f t="shared" si="49"/>
        <v>280</v>
      </c>
      <c r="K280" s="127">
        <f t="shared" si="50"/>
        <v>77280</v>
      </c>
      <c r="L280" s="7">
        <f t="shared" si="51"/>
        <v>111.56012478955631</v>
      </c>
      <c r="M280" s="7">
        <f t="shared" si="52"/>
        <v>30790.594441917652</v>
      </c>
      <c r="N280" s="7">
        <f t="shared" si="53"/>
        <v>-119.00707295324864</v>
      </c>
      <c r="O280" s="7">
        <f t="shared" si="54"/>
        <v>318.89557165496581</v>
      </c>
    </row>
    <row r="281" spans="1:15" x14ac:dyDescent="0.2">
      <c r="A281">
        <f t="shared" si="47"/>
        <v>277</v>
      </c>
      <c r="B281" s="7">
        <f t="shared" si="48"/>
        <v>391.56012478955631</v>
      </c>
      <c r="C281" s="7">
        <f t="shared" si="44"/>
        <v>159.55188206085884</v>
      </c>
      <c r="D281" s="7">
        <f t="shared" si="45"/>
        <v>232.00824272869747</v>
      </c>
      <c r="E281" s="7">
        <f>SUM(C$5:C281)</f>
        <v>77758.447453715882</v>
      </c>
      <c r="F281" s="7">
        <f>SUM(D$5:D281)</f>
        <v>30703.70711299128</v>
      </c>
      <c r="G281" s="7">
        <f>$D$1-'Amort Schedule - Investor'!F281</f>
        <v>25296.29288700872</v>
      </c>
      <c r="H281" s="11">
        <f t="shared" si="46"/>
        <v>0.45171951583944142</v>
      </c>
      <c r="J281" s="127">
        <f t="shared" si="49"/>
        <v>280</v>
      </c>
      <c r="K281" s="127">
        <f t="shared" si="50"/>
        <v>77560</v>
      </c>
      <c r="L281" s="7">
        <f t="shared" si="51"/>
        <v>111.56012478955631</v>
      </c>
      <c r="M281" s="7">
        <f t="shared" si="52"/>
        <v>30902.15456670721</v>
      </c>
      <c r="N281" s="7">
        <f t="shared" si="53"/>
        <v>-120.44811793914116</v>
      </c>
      <c r="O281" s="7">
        <f t="shared" si="54"/>
        <v>198.44745371582465</v>
      </c>
    </row>
    <row r="282" spans="1:15" x14ac:dyDescent="0.2">
      <c r="A282">
        <f t="shared" si="47"/>
        <v>278</v>
      </c>
      <c r="B282" s="7">
        <f t="shared" si="48"/>
        <v>391.56012478955631</v>
      </c>
      <c r="C282" s="7">
        <f t="shared" si="44"/>
        <v>158.10183054380445</v>
      </c>
      <c r="D282" s="7">
        <f t="shared" si="45"/>
        <v>233.4582942457518</v>
      </c>
      <c r="E282" s="7">
        <f>SUM(C$5:C282)</f>
        <v>77916.549284259687</v>
      </c>
      <c r="F282" s="7">
        <f>SUM(D$5:D282)</f>
        <v>30937.165407237033</v>
      </c>
      <c r="G282" s="7">
        <f>$D$1-'Amort Schedule - Investor'!F282</f>
        <v>25062.834592762967</v>
      </c>
      <c r="H282" s="11">
        <f t="shared" si="46"/>
        <v>0.4475506177279101</v>
      </c>
      <c r="J282" s="127">
        <f t="shared" si="49"/>
        <v>280</v>
      </c>
      <c r="K282" s="127">
        <f t="shared" si="50"/>
        <v>77840</v>
      </c>
      <c r="L282" s="7">
        <f t="shared" si="51"/>
        <v>111.56012478955631</v>
      </c>
      <c r="M282" s="7">
        <f t="shared" si="52"/>
        <v>31013.714691496767</v>
      </c>
      <c r="N282" s="7">
        <f t="shared" si="53"/>
        <v>-121.89816945619555</v>
      </c>
      <c r="O282" s="7">
        <f t="shared" si="54"/>
        <v>76.549284259629104</v>
      </c>
    </row>
    <row r="283" spans="1:15" x14ac:dyDescent="0.2">
      <c r="A283">
        <f t="shared" si="47"/>
        <v>279</v>
      </c>
      <c r="B283" s="7">
        <f t="shared" si="48"/>
        <v>391.56012478955631</v>
      </c>
      <c r="C283" s="7">
        <f t="shared" si="44"/>
        <v>156.64271620476853</v>
      </c>
      <c r="D283" s="7">
        <f t="shared" si="45"/>
        <v>234.91740858478778</v>
      </c>
      <c r="E283" s="7">
        <f>SUM(C$5:C283)</f>
        <v>78073.192000464449</v>
      </c>
      <c r="F283" s="7">
        <f>SUM(D$5:D283)</f>
        <v>31172.082815821821</v>
      </c>
      <c r="G283" s="7">
        <f>$D$1-'Amort Schedule - Investor'!F283</f>
        <v>24827.917184178179</v>
      </c>
      <c r="H283" s="11">
        <f t="shared" si="46"/>
        <v>0.44335566400318177</v>
      </c>
      <c r="J283" s="127">
        <f t="shared" si="49"/>
        <v>280</v>
      </c>
      <c r="K283" s="127">
        <f t="shared" si="50"/>
        <v>78120</v>
      </c>
      <c r="L283" s="7">
        <f t="shared" si="51"/>
        <v>111.56012478955631</v>
      </c>
      <c r="M283" s="7">
        <f t="shared" si="52"/>
        <v>31125.274816286324</v>
      </c>
      <c r="N283" s="7">
        <f t="shared" si="53"/>
        <v>-123.35728379523147</v>
      </c>
      <c r="O283" s="7">
        <f t="shared" si="54"/>
        <v>-46.807999535602363</v>
      </c>
    </row>
    <row r="284" spans="1:15" x14ac:dyDescent="0.2">
      <c r="A284">
        <f t="shared" si="47"/>
        <v>280</v>
      </c>
      <c r="B284" s="7">
        <f t="shared" si="48"/>
        <v>391.56012478955631</v>
      </c>
      <c r="C284" s="7">
        <f t="shared" si="44"/>
        <v>155.17448240111358</v>
      </c>
      <c r="D284" s="7">
        <f t="shared" si="45"/>
        <v>236.38564238844268</v>
      </c>
      <c r="E284" s="7">
        <f>SUM(C$5:C284)</f>
        <v>78228.36648286556</v>
      </c>
      <c r="F284" s="7">
        <f>SUM(D$5:D284)</f>
        <v>31408.468458210264</v>
      </c>
      <c r="G284" s="7">
        <f>$D$1-'Amort Schedule - Investor'!F284</f>
        <v>24591.531541789736</v>
      </c>
      <c r="H284" s="11">
        <f t="shared" si="46"/>
        <v>0.43913449181767389</v>
      </c>
      <c r="J284" s="127">
        <f t="shared" si="49"/>
        <v>280</v>
      </c>
      <c r="K284" s="127">
        <f t="shared" si="50"/>
        <v>78400</v>
      </c>
      <c r="L284" s="7">
        <f t="shared" si="51"/>
        <v>111.56012478955631</v>
      </c>
      <c r="M284" s="7">
        <f t="shared" si="52"/>
        <v>31236.834941075882</v>
      </c>
      <c r="N284" s="7">
        <f t="shared" si="53"/>
        <v>-124.82551759888642</v>
      </c>
      <c r="O284" s="7">
        <f t="shared" si="54"/>
        <v>-171.63351713448878</v>
      </c>
    </row>
    <row r="285" spans="1:15" x14ac:dyDescent="0.2">
      <c r="A285">
        <f t="shared" si="47"/>
        <v>281</v>
      </c>
      <c r="B285" s="7">
        <f t="shared" si="48"/>
        <v>391.56012478955631</v>
      </c>
      <c r="C285" s="7">
        <f t="shared" si="44"/>
        <v>153.69707213618585</v>
      </c>
      <c r="D285" s="7">
        <f t="shared" si="45"/>
        <v>237.86305265337049</v>
      </c>
      <c r="E285" s="7">
        <f>SUM(C$5:C285)</f>
        <v>78382.063555001747</v>
      </c>
      <c r="F285" s="7">
        <f>SUM(D$5:D285)</f>
        <v>31646.331510863634</v>
      </c>
      <c r="G285" s="7">
        <f>$D$1-'Amort Schedule - Investor'!F285</f>
        <v>24353.668489136366</v>
      </c>
      <c r="H285" s="11">
        <f t="shared" si="46"/>
        <v>0.43488693730600653</v>
      </c>
      <c r="J285" s="127">
        <f t="shared" si="49"/>
        <v>280</v>
      </c>
      <c r="K285" s="127">
        <f t="shared" si="50"/>
        <v>78680</v>
      </c>
      <c r="L285" s="7">
        <f t="shared" si="51"/>
        <v>111.56012478955631</v>
      </c>
      <c r="M285" s="7">
        <f t="shared" si="52"/>
        <v>31348.395065865439</v>
      </c>
      <c r="N285" s="7">
        <f t="shared" si="53"/>
        <v>-126.30292786381415</v>
      </c>
      <c r="O285" s="7">
        <f t="shared" si="54"/>
        <v>-297.93644499830293</v>
      </c>
    </row>
    <row r="286" spans="1:15" x14ac:dyDescent="0.2">
      <c r="A286">
        <f t="shared" si="47"/>
        <v>282</v>
      </c>
      <c r="B286" s="7">
        <f t="shared" si="48"/>
        <v>391.56012478955631</v>
      </c>
      <c r="C286" s="7">
        <f t="shared" si="44"/>
        <v>152.21042805710226</v>
      </c>
      <c r="D286" s="7">
        <f t="shared" si="45"/>
        <v>239.34969673245408</v>
      </c>
      <c r="E286" s="7">
        <f>SUM(C$5:C286)</f>
        <v>78534.273983058854</v>
      </c>
      <c r="F286" s="7">
        <f>SUM(D$5:D286)</f>
        <v>31885.681207596088</v>
      </c>
      <c r="G286" s="7">
        <f>$D$1-'Amort Schedule - Investor'!F286</f>
        <v>24114.318792403912</v>
      </c>
      <c r="H286" s="11">
        <f t="shared" si="46"/>
        <v>0.43061283557864127</v>
      </c>
      <c r="J286" s="127">
        <f t="shared" si="49"/>
        <v>280</v>
      </c>
      <c r="K286" s="127">
        <f t="shared" si="50"/>
        <v>78960</v>
      </c>
      <c r="L286" s="7">
        <f t="shared" si="51"/>
        <v>111.56012478955631</v>
      </c>
      <c r="M286" s="7">
        <f t="shared" si="52"/>
        <v>31459.955190654997</v>
      </c>
      <c r="N286" s="7">
        <f t="shared" si="53"/>
        <v>-127.78957194289774</v>
      </c>
      <c r="O286" s="7">
        <f t="shared" si="54"/>
        <v>-425.72601694120067</v>
      </c>
    </row>
    <row r="287" spans="1:15" x14ac:dyDescent="0.2">
      <c r="A287">
        <f t="shared" si="47"/>
        <v>283</v>
      </c>
      <c r="B287" s="7">
        <f t="shared" si="48"/>
        <v>391.56012478955631</v>
      </c>
      <c r="C287" s="7">
        <f t="shared" si="44"/>
        <v>150.71449245252444</v>
      </c>
      <c r="D287" s="7">
        <f t="shared" si="45"/>
        <v>240.84563233703187</v>
      </c>
      <c r="E287" s="7">
        <f>SUM(C$5:C287)</f>
        <v>78684.988475511374</v>
      </c>
      <c r="F287" s="7">
        <f>SUM(D$5:D287)</f>
        <v>32126.526839933118</v>
      </c>
      <c r="G287" s="7">
        <f>$D$1-'Amort Schedule - Investor'!F287</f>
        <v>23873.473160066882</v>
      </c>
      <c r="H287" s="11">
        <f t="shared" si="46"/>
        <v>0.42631202071548002</v>
      </c>
      <c r="J287" s="127">
        <f t="shared" si="49"/>
        <v>280</v>
      </c>
      <c r="K287" s="127">
        <f t="shared" si="50"/>
        <v>79240</v>
      </c>
      <c r="L287" s="7">
        <f t="shared" si="51"/>
        <v>111.56012478955631</v>
      </c>
      <c r="M287" s="7">
        <f t="shared" si="52"/>
        <v>31571.515315444554</v>
      </c>
      <c r="N287" s="7">
        <f t="shared" si="53"/>
        <v>-129.28550754747556</v>
      </c>
      <c r="O287" s="7">
        <f t="shared" si="54"/>
        <v>-555.01152448867629</v>
      </c>
    </row>
    <row r="288" spans="1:15" x14ac:dyDescent="0.2">
      <c r="A288">
        <f t="shared" si="47"/>
        <v>284</v>
      </c>
      <c r="B288" s="7">
        <f t="shared" si="48"/>
        <v>391.56012478955631</v>
      </c>
      <c r="C288" s="7">
        <f t="shared" si="44"/>
        <v>149.20920725041799</v>
      </c>
      <c r="D288" s="7">
        <f t="shared" si="45"/>
        <v>242.35091753913832</v>
      </c>
      <c r="E288" s="7">
        <f>SUM(C$5:C288)</f>
        <v>78834.197682761791</v>
      </c>
      <c r="F288" s="7">
        <f>SUM(D$5:D288)</f>
        <v>32368.877757472255</v>
      </c>
      <c r="G288" s="7">
        <f>$D$1-'Amort Schedule - Investor'!F288</f>
        <v>23631.122242527745</v>
      </c>
      <c r="H288" s="11">
        <f t="shared" si="46"/>
        <v>0.42198432575942402</v>
      </c>
      <c r="J288" s="127">
        <f t="shared" si="49"/>
        <v>280</v>
      </c>
      <c r="K288" s="127">
        <f t="shared" si="50"/>
        <v>79520</v>
      </c>
      <c r="L288" s="7">
        <f t="shared" si="51"/>
        <v>111.56012478955631</v>
      </c>
      <c r="M288" s="7">
        <f t="shared" si="52"/>
        <v>31683.075440234112</v>
      </c>
      <c r="N288" s="7">
        <f t="shared" si="53"/>
        <v>-130.79079274958201</v>
      </c>
      <c r="O288" s="7">
        <f t="shared" si="54"/>
        <v>-685.8023172382583</v>
      </c>
    </row>
    <row r="289" spans="1:15" x14ac:dyDescent="0.2">
      <c r="A289">
        <f t="shared" si="47"/>
        <v>285</v>
      </c>
      <c r="B289" s="7">
        <f t="shared" si="48"/>
        <v>391.56012478955631</v>
      </c>
      <c r="C289" s="7">
        <f t="shared" si="44"/>
        <v>147.6945140157984</v>
      </c>
      <c r="D289" s="7">
        <f t="shared" si="45"/>
        <v>243.86561077375796</v>
      </c>
      <c r="E289" s="7">
        <f>SUM(C$5:C289)</f>
        <v>78981.892196777582</v>
      </c>
      <c r="F289" s="7">
        <f>SUM(D$5:D289)</f>
        <v>32612.743368246014</v>
      </c>
      <c r="G289" s="7">
        <f>$D$1-'Amort Schedule - Investor'!F289</f>
        <v>23387.256631753986</v>
      </c>
      <c r="H289" s="11">
        <f t="shared" si="46"/>
        <v>0.41762958270989259</v>
      </c>
      <c r="J289" s="127">
        <f t="shared" si="49"/>
        <v>280</v>
      </c>
      <c r="K289" s="127">
        <f t="shared" si="50"/>
        <v>79800</v>
      </c>
      <c r="L289" s="7">
        <f t="shared" si="51"/>
        <v>111.56012478955631</v>
      </c>
      <c r="M289" s="7">
        <f t="shared" si="52"/>
        <v>31794.635565023669</v>
      </c>
      <c r="N289" s="7">
        <f t="shared" si="53"/>
        <v>-132.3054859842016</v>
      </c>
      <c r="O289" s="7">
        <f t="shared" si="54"/>
        <v>-818.10780322245989</v>
      </c>
    </row>
    <row r="290" spans="1:15" x14ac:dyDescent="0.2">
      <c r="A290">
        <f t="shared" si="47"/>
        <v>286</v>
      </c>
      <c r="B290" s="7">
        <f t="shared" si="48"/>
        <v>391.56012478955631</v>
      </c>
      <c r="C290" s="7">
        <f t="shared" si="44"/>
        <v>146.17035394846241</v>
      </c>
      <c r="D290" s="7">
        <f t="shared" si="45"/>
        <v>245.38977084109391</v>
      </c>
      <c r="E290" s="7">
        <f>SUM(C$5:C290)</f>
        <v>79128.062550726041</v>
      </c>
      <c r="F290" s="7">
        <f>SUM(D$5:D290)</f>
        <v>32858.133139087106</v>
      </c>
      <c r="G290" s="7">
        <f>$D$1-'Amort Schedule - Investor'!F290</f>
        <v>23141.866860912894</v>
      </c>
      <c r="H290" s="11">
        <f t="shared" si="46"/>
        <v>0.4132476225163017</v>
      </c>
      <c r="J290" s="127">
        <f t="shared" si="49"/>
        <v>280</v>
      </c>
      <c r="K290" s="127">
        <f t="shared" si="50"/>
        <v>80080</v>
      </c>
      <c r="L290" s="7">
        <f t="shared" si="51"/>
        <v>111.56012478955631</v>
      </c>
      <c r="M290" s="7">
        <f t="shared" si="52"/>
        <v>31906.195689813227</v>
      </c>
      <c r="N290" s="7">
        <f t="shared" si="53"/>
        <v>-133.82964605153759</v>
      </c>
      <c r="O290" s="7">
        <f t="shared" si="54"/>
        <v>-951.93744927399746</v>
      </c>
    </row>
    <row r="291" spans="1:15" x14ac:dyDescent="0.2">
      <c r="A291">
        <f t="shared" si="47"/>
        <v>287</v>
      </c>
      <c r="B291" s="7">
        <f t="shared" si="48"/>
        <v>391.56012478955631</v>
      </c>
      <c r="C291" s="7">
        <f t="shared" si="44"/>
        <v>144.63666788070555</v>
      </c>
      <c r="D291" s="7">
        <f t="shared" si="45"/>
        <v>246.9234569088508</v>
      </c>
      <c r="E291" s="7">
        <f>SUM(C$5:C291)</f>
        <v>79272.699218606751</v>
      </c>
      <c r="F291" s="7">
        <f>SUM(D$5:D291)</f>
        <v>33105.056595995957</v>
      </c>
      <c r="G291" s="7">
        <f>$D$1-'Amort Schedule - Investor'!F291</f>
        <v>22894.943404004043</v>
      </c>
      <c r="H291" s="11">
        <f t="shared" si="46"/>
        <v>0.40883827507150078</v>
      </c>
      <c r="J291" s="127">
        <f t="shared" si="49"/>
        <v>280</v>
      </c>
      <c r="K291" s="127">
        <f t="shared" si="50"/>
        <v>80360</v>
      </c>
      <c r="L291" s="7">
        <f t="shared" si="51"/>
        <v>111.56012478955631</v>
      </c>
      <c r="M291" s="7">
        <f t="shared" si="52"/>
        <v>32017.755814602784</v>
      </c>
      <c r="N291" s="7">
        <f t="shared" si="53"/>
        <v>-135.36333211929445</v>
      </c>
      <c r="O291" s="7">
        <f t="shared" si="54"/>
        <v>-1087.3007813932918</v>
      </c>
    </row>
    <row r="292" spans="1:15" s="6" customFormat="1" x14ac:dyDescent="0.2">
      <c r="A292" s="6">
        <f t="shared" si="47"/>
        <v>288</v>
      </c>
      <c r="B292" s="128">
        <f t="shared" si="48"/>
        <v>391.56012478955631</v>
      </c>
      <c r="C292" s="128">
        <f t="shared" si="44"/>
        <v>143.09339627502524</v>
      </c>
      <c r="D292" s="128">
        <f t="shared" si="45"/>
        <v>248.46672851453107</v>
      </c>
      <c r="E292" s="128">
        <f>SUM(C$5:C292)</f>
        <v>79415.792614881779</v>
      </c>
      <c r="F292" s="128">
        <f>SUM(D$5:D292)</f>
        <v>33353.52332451049</v>
      </c>
      <c r="G292" s="128">
        <f>$D$1-'Amort Schedule - Investor'!F292</f>
        <v>22646.47667548951</v>
      </c>
      <c r="H292" s="124">
        <f t="shared" si="46"/>
        <v>0.40440136920516984</v>
      </c>
      <c r="J292" s="127">
        <f t="shared" si="49"/>
        <v>280</v>
      </c>
      <c r="K292" s="127">
        <f t="shared" si="50"/>
        <v>80640</v>
      </c>
      <c r="L292" s="7">
        <f t="shared" si="51"/>
        <v>111.56012478955631</v>
      </c>
      <c r="M292" s="7">
        <f t="shared" si="52"/>
        <v>32129.315939392342</v>
      </c>
      <c r="N292" s="7">
        <f t="shared" si="53"/>
        <v>-136.90660372497476</v>
      </c>
      <c r="O292" s="7">
        <f t="shared" si="54"/>
        <v>-1224.2073851182665</v>
      </c>
    </row>
    <row r="293" spans="1:15" x14ac:dyDescent="0.2">
      <c r="A293">
        <f t="shared" si="47"/>
        <v>289</v>
      </c>
      <c r="B293" s="7">
        <f t="shared" si="48"/>
        <v>391.56012478955631</v>
      </c>
      <c r="C293" s="7">
        <f t="shared" si="44"/>
        <v>141.54047922180942</v>
      </c>
      <c r="D293" s="7">
        <f t="shared" si="45"/>
        <v>250.01964556774689</v>
      </c>
      <c r="E293" s="7">
        <f>SUM(C$5:C293)</f>
        <v>79557.333094103582</v>
      </c>
      <c r="F293" s="7">
        <f>SUM(D$5:D293)</f>
        <v>33603.542970078233</v>
      </c>
      <c r="G293" s="7">
        <f>$D$1-'Amort Schedule - Investor'!F293</f>
        <v>22396.457029921767</v>
      </c>
      <c r="H293" s="11">
        <f t="shared" si="46"/>
        <v>0.39993673267717439</v>
      </c>
      <c r="J293" s="127">
        <f t="shared" si="49"/>
        <v>280</v>
      </c>
      <c r="K293" s="127">
        <f t="shared" si="50"/>
        <v>80920</v>
      </c>
      <c r="L293" s="7">
        <f t="shared" si="51"/>
        <v>111.56012478955631</v>
      </c>
      <c r="M293" s="7">
        <f t="shared" si="52"/>
        <v>32240.876064181899</v>
      </c>
      <c r="N293" s="7">
        <f t="shared" si="53"/>
        <v>-138.45952077819058</v>
      </c>
      <c r="O293" s="7">
        <f t="shared" si="54"/>
        <v>-1362.6669058964571</v>
      </c>
    </row>
    <row r="294" spans="1:15" x14ac:dyDescent="0.2">
      <c r="A294">
        <f t="shared" si="47"/>
        <v>290</v>
      </c>
      <c r="B294" s="7">
        <f t="shared" si="48"/>
        <v>391.56012478955631</v>
      </c>
      <c r="C294" s="7">
        <f t="shared" si="44"/>
        <v>139.97785643701101</v>
      </c>
      <c r="D294" s="7">
        <f t="shared" si="45"/>
        <v>251.58226835254533</v>
      </c>
      <c r="E294" s="7">
        <f>SUM(C$5:C294)</f>
        <v>79697.310950540588</v>
      </c>
      <c r="F294" s="7">
        <f>SUM(D$5:D294)</f>
        <v>33855.125238430781</v>
      </c>
      <c r="G294" s="7">
        <f>$D$1-'Amort Schedule - Investor'!F294</f>
        <v>22144.874761569219</v>
      </c>
      <c r="H294" s="11">
        <f t="shared" si="46"/>
        <v>0.39544419217087889</v>
      </c>
      <c r="J294" s="127">
        <f t="shared" si="49"/>
        <v>280</v>
      </c>
      <c r="K294" s="127">
        <f t="shared" si="50"/>
        <v>81200</v>
      </c>
      <c r="L294" s="7">
        <f t="shared" si="51"/>
        <v>111.56012478955631</v>
      </c>
      <c r="M294" s="7">
        <f t="shared" si="52"/>
        <v>32352.436188971456</v>
      </c>
      <c r="N294" s="7">
        <f t="shared" si="53"/>
        <v>-140.02214356298899</v>
      </c>
      <c r="O294" s="7">
        <f t="shared" si="54"/>
        <v>-1502.6890494594461</v>
      </c>
    </row>
    <row r="295" spans="1:15" x14ac:dyDescent="0.2">
      <c r="A295">
        <f t="shared" si="47"/>
        <v>291</v>
      </c>
      <c r="B295" s="7">
        <f t="shared" si="48"/>
        <v>391.56012478955631</v>
      </c>
      <c r="C295" s="7">
        <f t="shared" si="44"/>
        <v>138.40546725980758</v>
      </c>
      <c r="D295" s="7">
        <f t="shared" si="45"/>
        <v>253.1546575297487</v>
      </c>
      <c r="E295" s="7">
        <f>SUM(C$5:C295)</f>
        <v>79835.716417800402</v>
      </c>
      <c r="F295" s="7">
        <f>SUM(D$5:D295)</f>
        <v>34108.279895960528</v>
      </c>
      <c r="G295" s="7">
        <f>$D$1-'Amort Schedule - Investor'!F295</f>
        <v>21891.720104039472</v>
      </c>
      <c r="H295" s="11">
        <f t="shared" si="46"/>
        <v>0.39092357328641913</v>
      </c>
      <c r="J295" s="127">
        <f t="shared" si="49"/>
        <v>280</v>
      </c>
      <c r="K295" s="127">
        <f t="shared" si="50"/>
        <v>81480</v>
      </c>
      <c r="L295" s="7">
        <f t="shared" si="51"/>
        <v>111.56012478955631</v>
      </c>
      <c r="M295" s="7">
        <f t="shared" si="52"/>
        <v>32463.996313761014</v>
      </c>
      <c r="N295" s="7">
        <f t="shared" si="53"/>
        <v>-141.59453274019242</v>
      </c>
      <c r="O295" s="7">
        <f t="shared" si="54"/>
        <v>-1644.2835821996384</v>
      </c>
    </row>
    <row r="296" spans="1:15" x14ac:dyDescent="0.2">
      <c r="A296">
        <f t="shared" si="47"/>
        <v>292</v>
      </c>
      <c r="B296" s="7">
        <f t="shared" si="48"/>
        <v>391.56012478955631</v>
      </c>
      <c r="C296" s="7">
        <f t="shared" si="44"/>
        <v>136.82325065024668</v>
      </c>
      <c r="D296" s="7">
        <f t="shared" si="45"/>
        <v>254.73687413930963</v>
      </c>
      <c r="E296" s="7">
        <f>SUM(C$5:C296)</f>
        <v>79972.539668450656</v>
      </c>
      <c r="F296" s="7">
        <f>SUM(D$5:D296)</f>
        <v>34363.016770099835</v>
      </c>
      <c r="G296" s="7">
        <f>$D$1-'Amort Schedule - Investor'!F296</f>
        <v>21636.983229900165</v>
      </c>
      <c r="H296" s="11">
        <f t="shared" si="46"/>
        <v>0.38637470053393153</v>
      </c>
      <c r="J296" s="127">
        <f t="shared" si="49"/>
        <v>280</v>
      </c>
      <c r="K296" s="127">
        <f t="shared" si="50"/>
        <v>81760</v>
      </c>
      <c r="L296" s="7">
        <f t="shared" si="51"/>
        <v>111.56012478955631</v>
      </c>
      <c r="M296" s="7">
        <f t="shared" si="52"/>
        <v>32575.556438550571</v>
      </c>
      <c r="N296" s="7">
        <f t="shared" si="53"/>
        <v>-143.17674934975332</v>
      </c>
      <c r="O296" s="7">
        <f t="shared" si="54"/>
        <v>-1787.4603315493919</v>
      </c>
    </row>
    <row r="297" spans="1:15" x14ac:dyDescent="0.2">
      <c r="A297">
        <f t="shared" si="47"/>
        <v>293</v>
      </c>
      <c r="B297" s="7">
        <f t="shared" si="48"/>
        <v>391.56012478955631</v>
      </c>
      <c r="C297" s="7">
        <f t="shared" si="44"/>
        <v>135.23114518687598</v>
      </c>
      <c r="D297" s="7">
        <f t="shared" si="45"/>
        <v>256.32897960268036</v>
      </c>
      <c r="E297" s="7">
        <f>SUM(C$5:C297)</f>
        <v>80107.770813637529</v>
      </c>
      <c r="F297" s="7">
        <f>SUM(D$5:D297)</f>
        <v>34619.345749702516</v>
      </c>
      <c r="G297" s="7">
        <f>$D$1-'Amort Schedule - Investor'!F297</f>
        <v>21380.654250297484</v>
      </c>
      <c r="H297" s="11">
        <f t="shared" si="46"/>
        <v>0.38179739732674078</v>
      </c>
      <c r="J297" s="127">
        <f t="shared" si="49"/>
        <v>280</v>
      </c>
      <c r="K297" s="127">
        <f t="shared" si="50"/>
        <v>82040</v>
      </c>
      <c r="L297" s="7">
        <f t="shared" si="51"/>
        <v>111.56012478955631</v>
      </c>
      <c r="M297" s="7">
        <f t="shared" si="52"/>
        <v>32687.116563340129</v>
      </c>
      <c r="N297" s="7">
        <f t="shared" si="53"/>
        <v>-144.76885481312402</v>
      </c>
      <c r="O297" s="7">
        <f t="shared" si="54"/>
        <v>-1932.229186362516</v>
      </c>
    </row>
    <row r="298" spans="1:15" x14ac:dyDescent="0.2">
      <c r="A298">
        <f t="shared" si="47"/>
        <v>294</v>
      </c>
      <c r="B298" s="7">
        <f t="shared" si="48"/>
        <v>391.56012478955631</v>
      </c>
      <c r="C298" s="7">
        <f t="shared" si="44"/>
        <v>133.62908906435922</v>
      </c>
      <c r="D298" s="7">
        <f t="shared" si="45"/>
        <v>257.93103572519709</v>
      </c>
      <c r="E298" s="7">
        <f>SUM(C$5:C298)</f>
        <v>80241.399902701887</v>
      </c>
      <c r="F298" s="7">
        <f>SUM(D$5:D298)</f>
        <v>34877.276785427712</v>
      </c>
      <c r="G298" s="7">
        <f>$D$1-'Amort Schedule - Investor'!F298</f>
        <v>21122.723214572288</v>
      </c>
      <c r="H298" s="11">
        <f t="shared" si="46"/>
        <v>0.37719148597450514</v>
      </c>
      <c r="J298" s="127">
        <f t="shared" si="49"/>
        <v>280</v>
      </c>
      <c r="K298" s="127">
        <f t="shared" si="50"/>
        <v>82320</v>
      </c>
      <c r="L298" s="7">
        <f t="shared" si="51"/>
        <v>111.56012478955631</v>
      </c>
      <c r="M298" s="7">
        <f t="shared" si="52"/>
        <v>32798.676688129686</v>
      </c>
      <c r="N298" s="7">
        <f t="shared" si="53"/>
        <v>-146.37091093564078</v>
      </c>
      <c r="O298" s="7">
        <f t="shared" si="54"/>
        <v>-2078.6000972981569</v>
      </c>
    </row>
    <row r="299" spans="1:15" x14ac:dyDescent="0.2">
      <c r="A299">
        <f t="shared" si="47"/>
        <v>295</v>
      </c>
      <c r="B299" s="7">
        <f t="shared" si="48"/>
        <v>391.56012478955631</v>
      </c>
      <c r="C299" s="7">
        <f t="shared" si="44"/>
        <v>132.01702009107677</v>
      </c>
      <c r="D299" s="7">
        <f t="shared" si="45"/>
        <v>259.54310469847957</v>
      </c>
      <c r="E299" s="7">
        <f>SUM(C$5:C299)</f>
        <v>80373.416922792967</v>
      </c>
      <c r="F299" s="7">
        <f>SUM(D$5:D299)</f>
        <v>35136.819890126193</v>
      </c>
      <c r="G299" s="7">
        <f>$D$1-'Amort Schedule - Investor'!F299</f>
        <v>20863.180109873807</v>
      </c>
      <c r="H299" s="11">
        <f t="shared" si="46"/>
        <v>0.372556787676318</v>
      </c>
      <c r="J299" s="127">
        <f t="shared" si="49"/>
        <v>280</v>
      </c>
      <c r="K299" s="127">
        <f t="shared" si="50"/>
        <v>82600</v>
      </c>
      <c r="L299" s="7">
        <f t="shared" si="51"/>
        <v>111.56012478955631</v>
      </c>
      <c r="M299" s="7">
        <f t="shared" si="52"/>
        <v>32910.23681291924</v>
      </c>
      <c r="N299" s="7">
        <f t="shared" si="53"/>
        <v>-147.98297990892323</v>
      </c>
      <c r="O299" s="7">
        <f t="shared" si="54"/>
        <v>-2226.5830772070804</v>
      </c>
    </row>
    <row r="300" spans="1:15" x14ac:dyDescent="0.2">
      <c r="A300">
        <f t="shared" si="47"/>
        <v>296</v>
      </c>
      <c r="B300" s="7">
        <f t="shared" si="48"/>
        <v>391.56012478955631</v>
      </c>
      <c r="C300" s="7">
        <f t="shared" si="44"/>
        <v>130.39487568671126</v>
      </c>
      <c r="D300" s="7">
        <f t="shared" si="45"/>
        <v>261.16524910284505</v>
      </c>
      <c r="E300" s="7">
        <f>SUM(C$5:C300)</f>
        <v>80503.811798479685</v>
      </c>
      <c r="F300" s="7">
        <f>SUM(D$5:D300)</f>
        <v>35397.985139229037</v>
      </c>
      <c r="G300" s="7">
        <f>$D$1-'Amort Schedule - Investor'!F300</f>
        <v>20602.014860770963</v>
      </c>
      <c r="H300" s="11">
        <f t="shared" si="46"/>
        <v>0.36789312251376721</v>
      </c>
      <c r="J300" s="127">
        <f t="shared" si="49"/>
        <v>280</v>
      </c>
      <c r="K300" s="127">
        <f t="shared" si="50"/>
        <v>82880</v>
      </c>
      <c r="L300" s="7">
        <f t="shared" si="51"/>
        <v>111.56012478955631</v>
      </c>
      <c r="M300" s="7">
        <f t="shared" si="52"/>
        <v>33021.796937708794</v>
      </c>
      <c r="N300" s="7">
        <f t="shared" si="53"/>
        <v>-149.60512431328874</v>
      </c>
      <c r="O300" s="7">
        <f t="shared" si="54"/>
        <v>-2376.1882015203691</v>
      </c>
    </row>
    <row r="301" spans="1:15" x14ac:dyDescent="0.2">
      <c r="A301">
        <f t="shared" si="47"/>
        <v>297</v>
      </c>
      <c r="B301" s="7">
        <f t="shared" si="48"/>
        <v>391.56012478955631</v>
      </c>
      <c r="C301" s="7">
        <f t="shared" si="44"/>
        <v>128.76259287981844</v>
      </c>
      <c r="D301" s="7">
        <f t="shared" si="45"/>
        <v>262.79753190973787</v>
      </c>
      <c r="E301" s="7">
        <f>SUM(C$5:C301)</f>
        <v>80632.574391359507</v>
      </c>
      <c r="F301" s="7">
        <f>SUM(D$5:D301)</f>
        <v>35660.782671138775</v>
      </c>
      <c r="G301" s="7">
        <f>$D$1-'Amort Schedule - Investor'!F301</f>
        <v>20339.217328861225</v>
      </c>
      <c r="H301" s="11">
        <f t="shared" si="46"/>
        <v>0.36320030944395043</v>
      </c>
      <c r="J301" s="127">
        <f t="shared" si="49"/>
        <v>280</v>
      </c>
      <c r="K301" s="127">
        <f t="shared" si="50"/>
        <v>83160</v>
      </c>
      <c r="L301" s="7">
        <f t="shared" si="51"/>
        <v>111.56012478955631</v>
      </c>
      <c r="M301" s="7">
        <f t="shared" si="52"/>
        <v>33133.357062498348</v>
      </c>
      <c r="N301" s="7">
        <f t="shared" si="53"/>
        <v>-151.23740712018156</v>
      </c>
      <c r="O301" s="7">
        <f t="shared" si="54"/>
        <v>-2527.4256086405508</v>
      </c>
    </row>
    <row r="302" spans="1:15" x14ac:dyDescent="0.2">
      <c r="A302">
        <f t="shared" si="47"/>
        <v>298</v>
      </c>
      <c r="B302" s="7">
        <f t="shared" si="48"/>
        <v>391.56012478955631</v>
      </c>
      <c r="C302" s="7">
        <f t="shared" si="44"/>
        <v>127.1201083053826</v>
      </c>
      <c r="D302" s="7">
        <f t="shared" si="45"/>
        <v>264.44001648417373</v>
      </c>
      <c r="E302" s="7">
        <f>SUM(C$5:C302)</f>
        <v>80759.694499664896</v>
      </c>
      <c r="F302" s="7">
        <f>SUM(D$5:D302)</f>
        <v>35925.222687622947</v>
      </c>
      <c r="G302" s="7">
        <f>$D$1-'Amort Schedule - Investor'!F302</f>
        <v>20074.777312377053</v>
      </c>
      <c r="H302" s="11">
        <f t="shared" si="46"/>
        <v>0.35847816629244739</v>
      </c>
      <c r="J302" s="127">
        <f t="shared" si="49"/>
        <v>280</v>
      </c>
      <c r="K302" s="127">
        <f t="shared" si="50"/>
        <v>83440</v>
      </c>
      <c r="L302" s="7">
        <f t="shared" si="51"/>
        <v>111.56012478955631</v>
      </c>
      <c r="M302" s="7">
        <f t="shared" si="52"/>
        <v>33244.917187287901</v>
      </c>
      <c r="N302" s="7">
        <f t="shared" si="53"/>
        <v>-152.87989169461741</v>
      </c>
      <c r="O302" s="7">
        <f t="shared" si="54"/>
        <v>-2680.3055003351683</v>
      </c>
    </row>
    <row r="303" spans="1:15" x14ac:dyDescent="0.2">
      <c r="A303">
        <f t="shared" si="47"/>
        <v>299</v>
      </c>
      <c r="B303" s="7">
        <f t="shared" si="48"/>
        <v>391.56012478955631</v>
      </c>
      <c r="C303" s="7">
        <f t="shared" si="44"/>
        <v>125.46735820235651</v>
      </c>
      <c r="D303" s="7">
        <f t="shared" si="45"/>
        <v>266.09276658719978</v>
      </c>
      <c r="E303" s="7">
        <f>SUM(C$5:C303)</f>
        <v>80885.16185786725</v>
      </c>
      <c r="F303" s="7">
        <f>SUM(D$5:D303)</f>
        <v>36191.315454210147</v>
      </c>
      <c r="G303" s="7">
        <f>$D$1-'Amort Schedule - Investor'!F303</f>
        <v>19808.684545789853</v>
      </c>
      <c r="H303" s="11">
        <f t="shared" si="46"/>
        <v>0.35372650974624736</v>
      </c>
      <c r="J303" s="127">
        <f t="shared" si="49"/>
        <v>280</v>
      </c>
      <c r="K303" s="127">
        <f t="shared" si="50"/>
        <v>83720</v>
      </c>
      <c r="L303" s="7">
        <f t="shared" si="51"/>
        <v>111.56012478955631</v>
      </c>
      <c r="M303" s="7">
        <f t="shared" si="52"/>
        <v>33356.477312077455</v>
      </c>
      <c r="N303" s="7">
        <f t="shared" si="53"/>
        <v>-154.53264179764349</v>
      </c>
      <c r="O303" s="7">
        <f t="shared" si="54"/>
        <v>-2834.8381421328118</v>
      </c>
    </row>
    <row r="304" spans="1:15" s="6" customFormat="1" x14ac:dyDescent="0.2">
      <c r="A304" s="6">
        <f t="shared" si="47"/>
        <v>300</v>
      </c>
      <c r="B304" s="128">
        <f t="shared" si="48"/>
        <v>391.56012478955631</v>
      </c>
      <c r="C304" s="128">
        <f t="shared" si="44"/>
        <v>123.80427841118652</v>
      </c>
      <c r="D304" s="128">
        <f t="shared" si="45"/>
        <v>267.75584637836982</v>
      </c>
      <c r="E304" s="128">
        <f>SUM(C$5:C304)</f>
        <v>81008.966136278439</v>
      </c>
      <c r="F304" s="128">
        <f>SUM(D$5:D304)</f>
        <v>36459.071300588519</v>
      </c>
      <c r="G304" s="128">
        <f>$D$1-'Amort Schedule - Investor'!F304</f>
        <v>19540.928699411481</v>
      </c>
      <c r="H304" s="124">
        <f t="shared" si="46"/>
        <v>0.34894515534663356</v>
      </c>
      <c r="J304" s="127">
        <f t="shared" si="49"/>
        <v>280</v>
      </c>
      <c r="K304" s="127">
        <f t="shared" si="50"/>
        <v>84000</v>
      </c>
      <c r="L304" s="7">
        <f t="shared" si="51"/>
        <v>111.56012478955631</v>
      </c>
      <c r="M304" s="7">
        <f t="shared" si="52"/>
        <v>33468.037436867009</v>
      </c>
      <c r="N304" s="7">
        <f t="shared" si="53"/>
        <v>-156.19572158881348</v>
      </c>
      <c r="O304" s="7">
        <f t="shared" si="54"/>
        <v>-2991.033863721625</v>
      </c>
    </row>
    <row r="305" spans="1:15" x14ac:dyDescent="0.2">
      <c r="A305">
        <f t="shared" si="47"/>
        <v>301</v>
      </c>
      <c r="B305" s="7">
        <f t="shared" si="48"/>
        <v>391.56012478955631</v>
      </c>
      <c r="C305" s="7">
        <f t="shared" si="44"/>
        <v>122.13080437132172</v>
      </c>
      <c r="D305" s="7">
        <f t="shared" si="45"/>
        <v>269.42932041823462</v>
      </c>
      <c r="E305" s="7">
        <f>SUM(C$5:C305)</f>
        <v>81131.096940649761</v>
      </c>
      <c r="F305" s="7">
        <f>SUM(D$5:D305)</f>
        <v>36728.500621006751</v>
      </c>
      <c r="G305" s="7">
        <f>$D$1-'Amort Schedule - Investor'!F305</f>
        <v>19271.499378993249</v>
      </c>
      <c r="H305" s="11">
        <f t="shared" si="46"/>
        <v>0.34413391748202232</v>
      </c>
      <c r="J305" s="127">
        <f t="shared" si="49"/>
        <v>280</v>
      </c>
      <c r="K305" s="127">
        <f t="shared" si="50"/>
        <v>84280</v>
      </c>
      <c r="L305" s="7">
        <f t="shared" si="51"/>
        <v>111.56012478955631</v>
      </c>
      <c r="M305" s="7">
        <f t="shared" si="52"/>
        <v>33579.597561656563</v>
      </c>
      <c r="N305" s="7">
        <f t="shared" si="53"/>
        <v>-157.86919562867828</v>
      </c>
      <c r="O305" s="7">
        <f t="shared" si="54"/>
        <v>-3148.9030593503035</v>
      </c>
    </row>
    <row r="306" spans="1:15" x14ac:dyDescent="0.2">
      <c r="A306">
        <f t="shared" si="47"/>
        <v>302</v>
      </c>
      <c r="B306" s="7">
        <f t="shared" si="48"/>
        <v>391.56012478955631</v>
      </c>
      <c r="C306" s="7">
        <f t="shared" si="44"/>
        <v>120.44687111870772</v>
      </c>
      <c r="D306" s="7">
        <f t="shared" si="45"/>
        <v>271.11325367084856</v>
      </c>
      <c r="E306" s="7">
        <f>SUM(C$5:C306)</f>
        <v>81251.543811768468</v>
      </c>
      <c r="F306" s="7">
        <f>SUM(D$5:D306)</f>
        <v>36999.613874677598</v>
      </c>
      <c r="G306" s="7">
        <f>$D$1-'Amort Schedule - Investor'!F306</f>
        <v>19000.386125322402</v>
      </c>
      <c r="H306" s="11">
        <f t="shared" si="46"/>
        <v>0.33929260938075717</v>
      </c>
      <c r="J306" s="127">
        <f t="shared" si="49"/>
        <v>280</v>
      </c>
      <c r="K306" s="127">
        <f t="shared" si="50"/>
        <v>84560</v>
      </c>
      <c r="L306" s="7">
        <f t="shared" si="51"/>
        <v>111.56012478955631</v>
      </c>
      <c r="M306" s="7">
        <f t="shared" si="52"/>
        <v>33691.157686446117</v>
      </c>
      <c r="N306" s="7">
        <f t="shared" si="53"/>
        <v>-159.55312888129228</v>
      </c>
      <c r="O306" s="7">
        <f t="shared" si="54"/>
        <v>-3308.4561882315957</v>
      </c>
    </row>
    <row r="307" spans="1:15" x14ac:dyDescent="0.2">
      <c r="A307">
        <f t="shared" si="47"/>
        <v>303</v>
      </c>
      <c r="B307" s="7">
        <f t="shared" si="48"/>
        <v>391.56012478955631</v>
      </c>
      <c r="C307" s="7">
        <f t="shared" si="44"/>
        <v>118.75241328326494</v>
      </c>
      <c r="D307" s="7">
        <f t="shared" si="45"/>
        <v>272.80771150629135</v>
      </c>
      <c r="E307" s="7">
        <f>SUM(C$5:C307)</f>
        <v>81370.29622505173</v>
      </c>
      <c r="F307" s="7">
        <f>SUM(D$5:D307)</f>
        <v>37272.421586183889</v>
      </c>
      <c r="G307" s="7">
        <f>$D$1-'Amort Schedule - Investor'!F307</f>
        <v>18727.578413816111</v>
      </c>
      <c r="H307" s="11">
        <f t="shared" si="46"/>
        <v>0.33442104310385912</v>
      </c>
      <c r="J307" s="127">
        <f t="shared" si="49"/>
        <v>280</v>
      </c>
      <c r="K307" s="127">
        <f t="shared" si="50"/>
        <v>84840</v>
      </c>
      <c r="L307" s="7">
        <f t="shared" si="51"/>
        <v>111.56012478955631</v>
      </c>
      <c r="M307" s="7">
        <f t="shared" si="52"/>
        <v>33802.717811235671</v>
      </c>
      <c r="N307" s="7">
        <f t="shared" si="53"/>
        <v>-161.24758671673504</v>
      </c>
      <c r="O307" s="7">
        <f t="shared" si="54"/>
        <v>-3469.7037749483306</v>
      </c>
    </row>
    <row r="308" spans="1:15" x14ac:dyDescent="0.2">
      <c r="A308">
        <f t="shared" si="47"/>
        <v>304</v>
      </c>
      <c r="B308" s="7">
        <f t="shared" si="48"/>
        <v>391.56012478955631</v>
      </c>
      <c r="C308" s="7">
        <f t="shared" si="44"/>
        <v>117.04736508635061</v>
      </c>
      <c r="D308" s="7">
        <f t="shared" si="45"/>
        <v>274.51275970320569</v>
      </c>
      <c r="E308" s="7">
        <f>SUM(C$5:C308)</f>
        <v>81487.343590138087</v>
      </c>
      <c r="F308" s="7">
        <f>SUM(D$5:D308)</f>
        <v>37546.934345887094</v>
      </c>
      <c r="G308" s="7">
        <f>$D$1-'Amort Schedule - Investor'!F308</f>
        <v>18453.065654112906</v>
      </c>
      <c r="H308" s="11">
        <f t="shared" si="46"/>
        <v>0.32951902953773049</v>
      </c>
      <c r="J308" s="127">
        <f t="shared" si="49"/>
        <v>280</v>
      </c>
      <c r="K308" s="127">
        <f t="shared" si="50"/>
        <v>85120</v>
      </c>
      <c r="L308" s="7">
        <f t="shared" si="51"/>
        <v>111.56012478955631</v>
      </c>
      <c r="M308" s="7">
        <f t="shared" si="52"/>
        <v>33914.277936025224</v>
      </c>
      <c r="N308" s="7">
        <f t="shared" si="53"/>
        <v>-162.95263491364938</v>
      </c>
      <c r="O308" s="7">
        <f t="shared" si="54"/>
        <v>-3632.6564098619801</v>
      </c>
    </row>
    <row r="309" spans="1:15" x14ac:dyDescent="0.2">
      <c r="A309">
        <f t="shared" si="47"/>
        <v>305</v>
      </c>
      <c r="B309" s="7">
        <f t="shared" si="48"/>
        <v>391.56012478955631</v>
      </c>
      <c r="C309" s="7">
        <f t="shared" si="44"/>
        <v>115.33166033820559</v>
      </c>
      <c r="D309" s="7">
        <f t="shared" si="45"/>
        <v>276.2284644513507</v>
      </c>
      <c r="E309" s="7">
        <f>SUM(C$5:C309)</f>
        <v>81602.675250476299</v>
      </c>
      <c r="F309" s="7">
        <f>SUM(D$5:D309)</f>
        <v>37823.162810338443</v>
      </c>
      <c r="G309" s="7">
        <f>$D$1-'Amort Schedule - Investor'!F309</f>
        <v>18176.837189661557</v>
      </c>
      <c r="H309" s="11">
        <f t="shared" si="46"/>
        <v>0.32458637838681353</v>
      </c>
      <c r="J309" s="127">
        <f t="shared" si="49"/>
        <v>280</v>
      </c>
      <c r="K309" s="127">
        <f t="shared" si="50"/>
        <v>85400</v>
      </c>
      <c r="L309" s="7">
        <f t="shared" si="51"/>
        <v>111.56012478955631</v>
      </c>
      <c r="M309" s="7">
        <f t="shared" si="52"/>
        <v>34025.838060814778</v>
      </c>
      <c r="N309" s="7">
        <f t="shared" si="53"/>
        <v>-164.66833966179439</v>
      </c>
      <c r="O309" s="7">
        <f t="shared" si="54"/>
        <v>-3797.3247495237747</v>
      </c>
    </row>
    <row r="310" spans="1:15" x14ac:dyDescent="0.2">
      <c r="A310">
        <f t="shared" si="47"/>
        <v>306</v>
      </c>
      <c r="B310" s="7">
        <f t="shared" si="48"/>
        <v>391.56012478955631</v>
      </c>
      <c r="C310" s="7">
        <f t="shared" si="44"/>
        <v>113.60523243538464</v>
      </c>
      <c r="D310" s="7">
        <f t="shared" si="45"/>
        <v>277.95489235417165</v>
      </c>
      <c r="E310" s="7">
        <f>SUM(C$5:C310)</f>
        <v>81716.280482911679</v>
      </c>
      <c r="F310" s="7">
        <f>SUM(D$5:D310)</f>
        <v>38101.117702692616</v>
      </c>
      <c r="G310" s="7">
        <f>$D$1-'Amort Schedule - Investor'!F310</f>
        <v>17898.882297307384</v>
      </c>
      <c r="H310" s="11">
        <f t="shared" si="46"/>
        <v>0.31962289816620326</v>
      </c>
      <c r="J310" s="127">
        <f t="shared" si="49"/>
        <v>280</v>
      </c>
      <c r="K310" s="127">
        <f t="shared" si="50"/>
        <v>85680</v>
      </c>
      <c r="L310" s="7">
        <f t="shared" si="51"/>
        <v>111.56012478955631</v>
      </c>
      <c r="M310" s="7">
        <f t="shared" si="52"/>
        <v>34137.398185604332</v>
      </c>
      <c r="N310" s="7">
        <f t="shared" si="53"/>
        <v>-166.39476756461536</v>
      </c>
      <c r="O310" s="7">
        <f t="shared" si="54"/>
        <v>-3963.7195170883901</v>
      </c>
    </row>
    <row r="311" spans="1:15" x14ac:dyDescent="0.2">
      <c r="A311">
        <f t="shared" si="47"/>
        <v>307</v>
      </c>
      <c r="B311" s="7">
        <f t="shared" si="48"/>
        <v>391.56012478955631</v>
      </c>
      <c r="C311" s="7">
        <f t="shared" si="44"/>
        <v>111.86801435817107</v>
      </c>
      <c r="D311" s="7">
        <f t="shared" si="45"/>
        <v>279.69211043138529</v>
      </c>
      <c r="E311" s="7">
        <f>SUM(C$5:C311)</f>
        <v>81828.148497269853</v>
      </c>
      <c r="F311" s="7">
        <f>SUM(D$5:D311)</f>
        <v>38380.809813124004</v>
      </c>
      <c r="G311" s="7">
        <f>$D$1-'Amort Schedule - Investor'!F311</f>
        <v>17619.190186875996</v>
      </c>
      <c r="H311" s="11">
        <f t="shared" si="46"/>
        <v>0.31462839619421423</v>
      </c>
      <c r="J311" s="127">
        <f t="shared" si="49"/>
        <v>280</v>
      </c>
      <c r="K311" s="127">
        <f t="shared" si="50"/>
        <v>85960</v>
      </c>
      <c r="L311" s="7">
        <f t="shared" si="51"/>
        <v>111.56012478955631</v>
      </c>
      <c r="M311" s="7">
        <f t="shared" si="52"/>
        <v>34248.958310393886</v>
      </c>
      <c r="N311" s="7">
        <f t="shared" si="53"/>
        <v>-168.13198564182892</v>
      </c>
      <c r="O311" s="7">
        <f t="shared" si="54"/>
        <v>-4131.8515027302192</v>
      </c>
    </row>
    <row r="312" spans="1:15" x14ac:dyDescent="0.2">
      <c r="A312">
        <f t="shared" si="47"/>
        <v>308</v>
      </c>
      <c r="B312" s="7">
        <f t="shared" si="48"/>
        <v>391.56012478955631</v>
      </c>
      <c r="C312" s="7">
        <f t="shared" si="44"/>
        <v>110.11993866797492</v>
      </c>
      <c r="D312" s="7">
        <f t="shared" si="45"/>
        <v>281.44018612158141</v>
      </c>
      <c r="E312" s="7">
        <f>SUM(C$5:C312)</f>
        <v>81938.268435937833</v>
      </c>
      <c r="F312" s="7">
        <f>SUM(D$5:D312)</f>
        <v>38662.249999245585</v>
      </c>
      <c r="G312" s="7">
        <f>$D$1-'Amort Schedule - Investor'!F312</f>
        <v>17337.750000754415</v>
      </c>
      <c r="H312" s="11">
        <f t="shared" si="46"/>
        <v>0.30960267858490026</v>
      </c>
      <c r="J312" s="127">
        <f t="shared" si="49"/>
        <v>280</v>
      </c>
      <c r="K312" s="127">
        <f t="shared" si="50"/>
        <v>86240</v>
      </c>
      <c r="L312" s="7">
        <f t="shared" si="51"/>
        <v>111.56012478955631</v>
      </c>
      <c r="M312" s="7">
        <f t="shared" si="52"/>
        <v>34360.51843518344</v>
      </c>
      <c r="N312" s="7">
        <f t="shared" si="53"/>
        <v>-169.88006133202509</v>
      </c>
      <c r="O312" s="7">
        <f t="shared" si="54"/>
        <v>-4301.7315640622446</v>
      </c>
    </row>
    <row r="313" spans="1:15" x14ac:dyDescent="0.2">
      <c r="A313">
        <f t="shared" si="47"/>
        <v>309</v>
      </c>
      <c r="B313" s="7">
        <f t="shared" si="48"/>
        <v>391.56012478955631</v>
      </c>
      <c r="C313" s="7">
        <f t="shared" si="44"/>
        <v>108.36093750471504</v>
      </c>
      <c r="D313" s="7">
        <f t="shared" si="45"/>
        <v>283.19918728484129</v>
      </c>
      <c r="E313" s="7">
        <f>SUM(C$5:C313)</f>
        <v>82046.629373442542</v>
      </c>
      <c r="F313" s="7">
        <f>SUM(D$5:D313)</f>
        <v>38945.44918653043</v>
      </c>
      <c r="G313" s="7">
        <f>$D$1-'Amort Schedule - Investor'!F313</f>
        <v>17054.55081346957</v>
      </c>
      <c r="H313" s="11">
        <f t="shared" si="46"/>
        <v>0.30454555024052804</v>
      </c>
      <c r="J313" s="127">
        <f t="shared" si="49"/>
        <v>280</v>
      </c>
      <c r="K313" s="127">
        <f t="shared" si="50"/>
        <v>86520</v>
      </c>
      <c r="L313" s="7">
        <f t="shared" si="51"/>
        <v>111.56012478955631</v>
      </c>
      <c r="M313" s="7">
        <f t="shared" si="52"/>
        <v>34472.078559972993</v>
      </c>
      <c r="N313" s="7">
        <f t="shared" si="53"/>
        <v>-171.63906249528497</v>
      </c>
      <c r="O313" s="7">
        <f t="shared" si="54"/>
        <v>-4473.3706265575292</v>
      </c>
    </row>
    <row r="314" spans="1:15" x14ac:dyDescent="0.2">
      <c r="A314">
        <f t="shared" si="47"/>
        <v>310</v>
      </c>
      <c r="B314" s="7">
        <f t="shared" si="48"/>
        <v>391.56012478955631</v>
      </c>
      <c r="C314" s="7">
        <f t="shared" si="44"/>
        <v>106.59094258418476</v>
      </c>
      <c r="D314" s="7">
        <f t="shared" si="45"/>
        <v>284.96918220537151</v>
      </c>
      <c r="E314" s="7">
        <f>SUM(C$5:C314)</f>
        <v>82153.220316026724</v>
      </c>
      <c r="F314" s="7">
        <f>SUM(D$5:D314)</f>
        <v>39230.418368735802</v>
      </c>
      <c r="G314" s="7">
        <f>$D$1-'Amort Schedule - Investor'!F314</f>
        <v>16769.581631264198</v>
      </c>
      <c r="H314" s="11">
        <f t="shared" si="46"/>
        <v>0.29945681484400355</v>
      </c>
      <c r="J314" s="127">
        <f t="shared" si="49"/>
        <v>280</v>
      </c>
      <c r="K314" s="127">
        <f t="shared" si="50"/>
        <v>86800</v>
      </c>
      <c r="L314" s="7">
        <f t="shared" si="51"/>
        <v>111.56012478955631</v>
      </c>
      <c r="M314" s="7">
        <f t="shared" si="52"/>
        <v>34583.638684762547</v>
      </c>
      <c r="N314" s="7">
        <f t="shared" si="53"/>
        <v>-173.40905741581525</v>
      </c>
      <c r="O314" s="7">
        <f t="shared" si="54"/>
        <v>-4646.7796839733446</v>
      </c>
    </row>
    <row r="315" spans="1:15" x14ac:dyDescent="0.2">
      <c r="A315">
        <f t="shared" si="47"/>
        <v>311</v>
      </c>
      <c r="B315" s="7">
        <f t="shared" si="48"/>
        <v>391.56012478955631</v>
      </c>
      <c r="C315" s="7">
        <f t="shared" si="44"/>
        <v>104.80988519540118</v>
      </c>
      <c r="D315" s="7">
        <f t="shared" si="45"/>
        <v>286.75023959415512</v>
      </c>
      <c r="E315" s="7">
        <f>SUM(C$5:C315)</f>
        <v>82258.030201222122</v>
      </c>
      <c r="F315" s="7">
        <f>SUM(D$5:D315)</f>
        <v>39517.168608329957</v>
      </c>
      <c r="G315" s="7">
        <f>$D$1-'Amort Schedule - Investor'!F315</f>
        <v>16482.831391670043</v>
      </c>
      <c r="H315" s="11">
        <f t="shared" si="46"/>
        <v>0.29433627485125075</v>
      </c>
      <c r="J315" s="127">
        <f t="shared" si="49"/>
        <v>280</v>
      </c>
      <c r="K315" s="127">
        <f t="shared" si="50"/>
        <v>87080</v>
      </c>
      <c r="L315" s="7">
        <f t="shared" si="51"/>
        <v>111.56012478955631</v>
      </c>
      <c r="M315" s="7">
        <f t="shared" si="52"/>
        <v>34695.198809552101</v>
      </c>
      <c r="N315" s="7">
        <f t="shared" si="53"/>
        <v>-175.19011480459881</v>
      </c>
      <c r="O315" s="7">
        <f t="shared" si="54"/>
        <v>-4821.9697987779437</v>
      </c>
    </row>
    <row r="316" spans="1:15" s="6" customFormat="1" x14ac:dyDescent="0.2">
      <c r="A316" s="6">
        <f t="shared" si="47"/>
        <v>312</v>
      </c>
      <c r="B316" s="128">
        <f t="shared" si="48"/>
        <v>391.56012478955631</v>
      </c>
      <c r="C316" s="128">
        <f t="shared" si="44"/>
        <v>103.01769619793775</v>
      </c>
      <c r="D316" s="128">
        <f t="shared" si="45"/>
        <v>288.5424285916186</v>
      </c>
      <c r="E316" s="128">
        <f>SUM(C$5:C316)</f>
        <v>82361.047897420052</v>
      </c>
      <c r="F316" s="128">
        <f>SUM(D$5:D316)</f>
        <v>39805.711036921573</v>
      </c>
      <c r="G316" s="128">
        <f>$D$1-'Amort Schedule - Investor'!F316</f>
        <v>16194.288963078427</v>
      </c>
      <c r="H316" s="124">
        <f t="shared" si="46"/>
        <v>0.28918373148354332</v>
      </c>
      <c r="J316" s="127">
        <f t="shared" si="49"/>
        <v>280</v>
      </c>
      <c r="K316" s="127">
        <f t="shared" si="50"/>
        <v>87360</v>
      </c>
      <c r="L316" s="7">
        <f t="shared" si="51"/>
        <v>111.56012478955631</v>
      </c>
      <c r="M316" s="7">
        <f t="shared" si="52"/>
        <v>34806.758934341655</v>
      </c>
      <c r="N316" s="7">
        <f t="shared" si="53"/>
        <v>-176.98230380206223</v>
      </c>
      <c r="O316" s="7">
        <f t="shared" si="54"/>
        <v>-4998.9521025800059</v>
      </c>
    </row>
    <row r="317" spans="1:15" x14ac:dyDescent="0.2">
      <c r="A317">
        <f t="shared" si="47"/>
        <v>313</v>
      </c>
      <c r="B317" s="7">
        <f t="shared" si="48"/>
        <v>391.56012478955631</v>
      </c>
      <c r="C317" s="7">
        <f t="shared" si="44"/>
        <v>101.21430601924013</v>
      </c>
      <c r="D317" s="7">
        <f t="shared" si="45"/>
        <v>290.34581877031621</v>
      </c>
      <c r="E317" s="7">
        <f>SUM(C$5:C317)</f>
        <v>82462.262203439299</v>
      </c>
      <c r="F317" s="7">
        <f>SUM(D$5:D317)</f>
        <v>40096.056855691888</v>
      </c>
      <c r="G317" s="7">
        <f>$D$1-'Amort Schedule - Investor'!F317</f>
        <v>15903.943144308112</v>
      </c>
      <c r="H317" s="11">
        <f t="shared" si="46"/>
        <v>0.28399898471978774</v>
      </c>
      <c r="J317" s="127">
        <f t="shared" si="49"/>
        <v>280</v>
      </c>
      <c r="K317" s="127">
        <f t="shared" si="50"/>
        <v>87640</v>
      </c>
      <c r="L317" s="7">
        <f t="shared" si="51"/>
        <v>111.56012478955631</v>
      </c>
      <c r="M317" s="7">
        <f t="shared" si="52"/>
        <v>34918.319059131209</v>
      </c>
      <c r="N317" s="7">
        <f t="shared" si="53"/>
        <v>-178.78569398075987</v>
      </c>
      <c r="O317" s="7">
        <f t="shared" si="54"/>
        <v>-5177.7377965607657</v>
      </c>
    </row>
    <row r="318" spans="1:15" x14ac:dyDescent="0.2">
      <c r="A318">
        <f t="shared" si="47"/>
        <v>314</v>
      </c>
      <c r="B318" s="7">
        <f t="shared" si="48"/>
        <v>391.56012478955631</v>
      </c>
      <c r="C318" s="7">
        <f t="shared" si="44"/>
        <v>99.399644651925641</v>
      </c>
      <c r="D318" s="7">
        <f t="shared" si="45"/>
        <v>292.16048013763066</v>
      </c>
      <c r="E318" s="7">
        <f>SUM(C$5:C318)</f>
        <v>82561.661848091229</v>
      </c>
      <c r="F318" s="7">
        <f>SUM(D$5:D318)</f>
        <v>40388.217335829519</v>
      </c>
      <c r="G318" s="7">
        <f>$D$1-'Amort Schedule - Investor'!F318</f>
        <v>15611.782664170481</v>
      </c>
      <c r="H318" s="11">
        <f t="shared" si="46"/>
        <v>0.27878183328875861</v>
      </c>
      <c r="J318" s="127">
        <f t="shared" si="49"/>
        <v>280</v>
      </c>
      <c r="K318" s="127">
        <f t="shared" si="50"/>
        <v>87920</v>
      </c>
      <c r="L318" s="7">
        <f t="shared" si="51"/>
        <v>111.56012478955631</v>
      </c>
      <c r="M318" s="7">
        <f t="shared" si="52"/>
        <v>35029.879183920762</v>
      </c>
      <c r="N318" s="7">
        <f t="shared" si="53"/>
        <v>-180.60035534807434</v>
      </c>
      <c r="O318" s="7">
        <f t="shared" si="54"/>
        <v>-5358.3381519088398</v>
      </c>
    </row>
    <row r="319" spans="1:15" x14ac:dyDescent="0.2">
      <c r="A319">
        <f t="shared" si="47"/>
        <v>315</v>
      </c>
      <c r="B319" s="7">
        <f t="shared" si="48"/>
        <v>391.56012478955631</v>
      </c>
      <c r="C319" s="7">
        <f t="shared" si="44"/>
        <v>97.573641651065444</v>
      </c>
      <c r="D319" s="7">
        <f t="shared" si="45"/>
        <v>293.98648313849088</v>
      </c>
      <c r="E319" s="7">
        <f>SUM(C$5:C319)</f>
        <v>82659.235489742292</v>
      </c>
      <c r="F319" s="7">
        <f>SUM(D$5:D319)</f>
        <v>40682.20381896801</v>
      </c>
      <c r="G319" s="7">
        <f>$D$1-'Amort Schedule - Investor'!F319</f>
        <v>15317.79618103199</v>
      </c>
      <c r="H319" s="11">
        <f t="shared" si="46"/>
        <v>0.27353207466128554</v>
      </c>
      <c r="J319" s="127">
        <f t="shared" si="49"/>
        <v>280</v>
      </c>
      <c r="K319" s="127">
        <f t="shared" si="50"/>
        <v>88200</v>
      </c>
      <c r="L319" s="7">
        <f t="shared" si="51"/>
        <v>111.56012478955631</v>
      </c>
      <c r="M319" s="7">
        <f t="shared" si="52"/>
        <v>35141.439308710316</v>
      </c>
      <c r="N319" s="7">
        <f t="shared" si="53"/>
        <v>-182.42635834893457</v>
      </c>
      <c r="O319" s="7">
        <f t="shared" si="54"/>
        <v>-5540.7645102577744</v>
      </c>
    </row>
    <row r="320" spans="1:15" x14ac:dyDescent="0.2">
      <c r="A320">
        <f t="shared" si="47"/>
        <v>316</v>
      </c>
      <c r="B320" s="7">
        <f t="shared" si="48"/>
        <v>391.56012478955631</v>
      </c>
      <c r="C320" s="7">
        <f t="shared" si="44"/>
        <v>95.736226131449868</v>
      </c>
      <c r="D320" s="7">
        <f t="shared" si="45"/>
        <v>295.82389865810643</v>
      </c>
      <c r="E320" s="7">
        <f>SUM(C$5:C320)</f>
        <v>82754.971715873748</v>
      </c>
      <c r="F320" s="7">
        <f>SUM(D$5:D320)</f>
        <v>40978.027717626115</v>
      </c>
      <c r="G320" s="7">
        <f>$D$1-'Amort Schedule - Investor'!F320</f>
        <v>15021.972282373885</v>
      </c>
      <c r="H320" s="11">
        <f t="shared" si="46"/>
        <v>0.26824950504239081</v>
      </c>
      <c r="J320" s="127">
        <f t="shared" si="49"/>
        <v>280</v>
      </c>
      <c r="K320" s="127">
        <f t="shared" si="50"/>
        <v>88480</v>
      </c>
      <c r="L320" s="7">
        <f t="shared" si="51"/>
        <v>111.56012478955631</v>
      </c>
      <c r="M320" s="7">
        <f t="shared" si="52"/>
        <v>35252.99943349987</v>
      </c>
      <c r="N320" s="7">
        <f t="shared" si="53"/>
        <v>-184.26377386855012</v>
      </c>
      <c r="O320" s="7">
        <f t="shared" si="54"/>
        <v>-5725.0282841263243</v>
      </c>
    </row>
    <row r="321" spans="1:15" x14ac:dyDescent="0.2">
      <c r="A321">
        <f t="shared" si="47"/>
        <v>317</v>
      </c>
      <c r="B321" s="7">
        <f t="shared" si="48"/>
        <v>391.56012478955631</v>
      </c>
      <c r="C321" s="7">
        <f t="shared" si="44"/>
        <v>93.887326764836715</v>
      </c>
      <c r="D321" s="7">
        <f t="shared" si="45"/>
        <v>297.67279802471961</v>
      </c>
      <c r="E321" s="7">
        <f>SUM(C$5:C321)</f>
        <v>82848.859042638578</v>
      </c>
      <c r="F321" s="7">
        <f>SUM(D$5:D321)</f>
        <v>41275.700515650831</v>
      </c>
      <c r="G321" s="7">
        <f>$D$1-'Amort Schedule - Investor'!F321</f>
        <v>14724.299484349169</v>
      </c>
      <c r="H321" s="11">
        <f t="shared" si="46"/>
        <v>0.26293391936337801</v>
      </c>
      <c r="J321" s="127">
        <f t="shared" si="49"/>
        <v>280</v>
      </c>
      <c r="K321" s="127">
        <f t="shared" si="50"/>
        <v>88760</v>
      </c>
      <c r="L321" s="7">
        <f t="shared" si="51"/>
        <v>111.56012478955631</v>
      </c>
      <c r="M321" s="7">
        <f t="shared" si="52"/>
        <v>35364.559558289424</v>
      </c>
      <c r="N321" s="7">
        <f t="shared" si="53"/>
        <v>-186.1126732351633</v>
      </c>
      <c r="O321" s="7">
        <f t="shared" si="54"/>
        <v>-5911.1409573614874</v>
      </c>
    </row>
    <row r="322" spans="1:15" x14ac:dyDescent="0.2">
      <c r="A322">
        <f t="shared" si="47"/>
        <v>318</v>
      </c>
      <c r="B322" s="7">
        <f t="shared" si="48"/>
        <v>391.56012478955631</v>
      </c>
      <c r="C322" s="7">
        <f t="shared" si="44"/>
        <v>92.026871777182237</v>
      </c>
      <c r="D322" s="7">
        <f t="shared" si="45"/>
        <v>299.53325301237408</v>
      </c>
      <c r="E322" s="7">
        <f>SUM(C$5:C322)</f>
        <v>82940.885914415761</v>
      </c>
      <c r="F322" s="7">
        <f>SUM(D$5:D322)</f>
        <v>41575.233768663202</v>
      </c>
      <c r="G322" s="7">
        <f>$D$1-'Amort Schedule - Investor'!F322</f>
        <v>14424.766231336798</v>
      </c>
      <c r="H322" s="11">
        <f t="shared" si="46"/>
        <v>0.2575851112738714</v>
      </c>
      <c r="J322" s="127">
        <f t="shared" si="49"/>
        <v>280</v>
      </c>
      <c r="K322" s="127">
        <f t="shared" si="50"/>
        <v>89040</v>
      </c>
      <c r="L322" s="7">
        <f t="shared" si="51"/>
        <v>111.56012478955631</v>
      </c>
      <c r="M322" s="7">
        <f t="shared" si="52"/>
        <v>35476.119683078978</v>
      </c>
      <c r="N322" s="7">
        <f t="shared" si="53"/>
        <v>-187.97312822281776</v>
      </c>
      <c r="O322" s="7">
        <f t="shared" si="54"/>
        <v>-6099.114085584305</v>
      </c>
    </row>
    <row r="323" spans="1:15" x14ac:dyDescent="0.2">
      <c r="A323">
        <f t="shared" si="47"/>
        <v>319</v>
      </c>
      <c r="B323" s="7">
        <f t="shared" si="48"/>
        <v>391.56012478955631</v>
      </c>
      <c r="C323" s="7">
        <f t="shared" si="44"/>
        <v>90.154788945854875</v>
      </c>
      <c r="D323" s="7">
        <f t="shared" si="45"/>
        <v>301.40533584370144</v>
      </c>
      <c r="E323" s="7">
        <f>SUM(C$5:C323)</f>
        <v>83031.040703361621</v>
      </c>
      <c r="F323" s="7">
        <f>SUM(D$5:D323)</f>
        <v>41876.639104506903</v>
      </c>
      <c r="G323" s="7">
        <f>$D$1-'Amort Schedule - Investor'!F323</f>
        <v>14123.360895493097</v>
      </c>
      <c r="H323" s="11">
        <f t="shared" si="46"/>
        <v>0.25220287313380529</v>
      </c>
      <c r="J323" s="127">
        <f t="shared" si="49"/>
        <v>280</v>
      </c>
      <c r="K323" s="127">
        <f t="shared" si="50"/>
        <v>89320</v>
      </c>
      <c r="L323" s="7">
        <f t="shared" si="51"/>
        <v>111.56012478955631</v>
      </c>
      <c r="M323" s="7">
        <f t="shared" si="52"/>
        <v>35587.679807868531</v>
      </c>
      <c r="N323" s="7">
        <f t="shared" si="53"/>
        <v>-189.84521105414512</v>
      </c>
      <c r="O323" s="7">
        <f t="shared" si="54"/>
        <v>-6288.9592966384498</v>
      </c>
    </row>
    <row r="324" spans="1:15" x14ac:dyDescent="0.2">
      <c r="A324">
        <f t="shared" si="47"/>
        <v>320</v>
      </c>
      <c r="B324" s="7">
        <f t="shared" si="48"/>
        <v>391.56012478955631</v>
      </c>
      <c r="C324" s="7">
        <f t="shared" si="44"/>
        <v>88.271005596831742</v>
      </c>
      <c r="D324" s="7">
        <f t="shared" si="45"/>
        <v>303.28911919272463</v>
      </c>
      <c r="E324" s="7">
        <f>SUM(C$5:C324)</f>
        <v>83119.311708958456</v>
      </c>
      <c r="F324" s="7">
        <f>SUM(D$5:D324)</f>
        <v>42179.92822369963</v>
      </c>
      <c r="G324" s="7">
        <f>$D$1-'Amort Schedule - Investor'!F324</f>
        <v>13820.07177630037</v>
      </c>
      <c r="H324" s="11">
        <f t="shared" si="46"/>
        <v>0.24678699600536375</v>
      </c>
      <c r="J324" s="127">
        <f t="shared" si="49"/>
        <v>280</v>
      </c>
      <c r="K324" s="127">
        <f t="shared" si="50"/>
        <v>89600</v>
      </c>
      <c r="L324" s="7">
        <f t="shared" si="51"/>
        <v>111.56012478955631</v>
      </c>
      <c r="M324" s="7">
        <f t="shared" si="52"/>
        <v>35699.239932658085</v>
      </c>
      <c r="N324" s="7">
        <f t="shared" si="53"/>
        <v>-191.72899440316826</v>
      </c>
      <c r="O324" s="7">
        <f t="shared" si="54"/>
        <v>-6480.688291041618</v>
      </c>
    </row>
    <row r="325" spans="1:15" x14ac:dyDescent="0.2">
      <c r="A325">
        <f t="shared" si="47"/>
        <v>321</v>
      </c>
      <c r="B325" s="7">
        <f t="shared" si="48"/>
        <v>391.56012478955631</v>
      </c>
      <c r="C325" s="7">
        <f t="shared" si="44"/>
        <v>86.37544860187721</v>
      </c>
      <c r="D325" s="7">
        <f t="shared" si="45"/>
        <v>305.18467618767909</v>
      </c>
      <c r="E325" s="7">
        <f>SUM(C$5:C325)</f>
        <v>83205.687157560329</v>
      </c>
      <c r="F325" s="7">
        <f>SUM(D$5:D325)</f>
        <v>42485.11289988731</v>
      </c>
      <c r="G325" s="7">
        <f>$D$1-'Amort Schedule - Investor'!F325</f>
        <v>13514.88710011269</v>
      </c>
      <c r="H325" s="11">
        <f t="shared" si="46"/>
        <v>0.24133726964486946</v>
      </c>
      <c r="J325" s="127">
        <f t="shared" si="49"/>
        <v>280</v>
      </c>
      <c r="K325" s="127">
        <f t="shared" si="50"/>
        <v>89880</v>
      </c>
      <c r="L325" s="7">
        <f t="shared" si="51"/>
        <v>111.56012478955631</v>
      </c>
      <c r="M325" s="7">
        <f t="shared" si="52"/>
        <v>35810.800057447639</v>
      </c>
      <c r="N325" s="7">
        <f t="shared" si="53"/>
        <v>-193.62455139812278</v>
      </c>
      <c r="O325" s="7">
        <f t="shared" si="54"/>
        <v>-6674.312842439741</v>
      </c>
    </row>
    <row r="326" spans="1:15" x14ac:dyDescent="0.2">
      <c r="A326">
        <f t="shared" si="47"/>
        <v>322</v>
      </c>
      <c r="B326" s="7">
        <f t="shared" si="48"/>
        <v>391.56012478955631</v>
      </c>
      <c r="C326" s="7">
        <f t="shared" ref="C326:C364" si="55">-IPMT($D$2/12,A326,$D$3,$D$1)</f>
        <v>84.468044375704224</v>
      </c>
      <c r="D326" s="7">
        <f t="shared" ref="D326:D364" si="56">-PPMT($D$2/12,A326,$D$3,$D$1)</f>
        <v>307.0920804138521</v>
      </c>
      <c r="E326" s="7">
        <f>SUM(C$5:C326)</f>
        <v>83290.155201936039</v>
      </c>
      <c r="F326" s="7">
        <f>SUM(D$5:D326)</f>
        <v>42792.204980301161</v>
      </c>
      <c r="G326" s="7">
        <f>$D$1-'Amort Schedule - Investor'!F326</f>
        <v>13207.795019698839</v>
      </c>
      <c r="H326" s="11">
        <f t="shared" ref="H326:H364" si="57">G326/$D$1</f>
        <v>0.23585348249462212</v>
      </c>
      <c r="J326" s="127">
        <f t="shared" si="49"/>
        <v>280</v>
      </c>
      <c r="K326" s="127">
        <f t="shared" si="50"/>
        <v>90160</v>
      </c>
      <c r="L326" s="7">
        <f t="shared" si="51"/>
        <v>111.56012478955631</v>
      </c>
      <c r="M326" s="7">
        <f t="shared" si="52"/>
        <v>35922.360182237193</v>
      </c>
      <c r="N326" s="7">
        <f t="shared" si="53"/>
        <v>-195.53195562429579</v>
      </c>
      <c r="O326" s="7">
        <f t="shared" si="54"/>
        <v>-6869.8447980640367</v>
      </c>
    </row>
    <row r="327" spans="1:15" x14ac:dyDescent="0.2">
      <c r="A327">
        <f t="shared" ref="A327:A364" si="58">A326+1</f>
        <v>323</v>
      </c>
      <c r="B327" s="7">
        <f t="shared" ref="B327:B364" si="59">B326</f>
        <v>391.56012478955631</v>
      </c>
      <c r="C327" s="7">
        <f t="shared" si="55"/>
        <v>82.54871887311765</v>
      </c>
      <c r="D327" s="7">
        <f t="shared" si="56"/>
        <v>309.01140591643866</v>
      </c>
      <c r="E327" s="7">
        <f>SUM(C$5:C327)</f>
        <v>83372.703920809159</v>
      </c>
      <c r="F327" s="7">
        <f>SUM(D$5:D327)</f>
        <v>43101.216386217602</v>
      </c>
      <c r="G327" s="7">
        <f>$D$1-'Amort Schedule - Investor'!F327</f>
        <v>12898.783613782398</v>
      </c>
      <c r="H327" s="11">
        <f t="shared" si="57"/>
        <v>0.23033542167468568</v>
      </c>
      <c r="J327" s="127">
        <f t="shared" ref="J327:J364" si="60">J326</f>
        <v>280</v>
      </c>
      <c r="K327" s="127">
        <f t="shared" ref="K327:K364" si="61">J327+K326</f>
        <v>90440</v>
      </c>
      <c r="L327" s="7">
        <f t="shared" ref="L327:L364" si="62">B327-J327</f>
        <v>111.56012478955631</v>
      </c>
      <c r="M327" s="7">
        <f t="shared" ref="M327:M364" si="63">M326+L327</f>
        <v>36033.920307026747</v>
      </c>
      <c r="N327" s="7">
        <f t="shared" ref="N327:N364" si="64">C327-J327</f>
        <v>-197.45128112688235</v>
      </c>
      <c r="O327" s="7">
        <f t="shared" ref="O327:O364" si="65">O326+N327</f>
        <v>-7067.296079190919</v>
      </c>
    </row>
    <row r="328" spans="1:15" s="6" customFormat="1" x14ac:dyDescent="0.2">
      <c r="A328" s="6">
        <f t="shared" si="58"/>
        <v>324</v>
      </c>
      <c r="B328" s="128">
        <f t="shared" si="59"/>
        <v>391.56012478955631</v>
      </c>
      <c r="C328" s="128">
        <f t="shared" si="55"/>
        <v>80.617397586139901</v>
      </c>
      <c r="D328" s="128">
        <f t="shared" si="56"/>
        <v>310.94272720341638</v>
      </c>
      <c r="E328" s="128">
        <f>SUM(C$5:C328)</f>
        <v>83453.321318395305</v>
      </c>
      <c r="F328" s="128">
        <f>SUM(D$5:D328)</f>
        <v>43412.159113421018</v>
      </c>
      <c r="G328" s="128">
        <f>$D$1-'Amort Schedule - Investor'!F328</f>
        <v>12587.840886578982</v>
      </c>
      <c r="H328" s="124">
        <f t="shared" si="57"/>
        <v>0.22478287297462468</v>
      </c>
      <c r="J328" s="127">
        <f t="shared" si="60"/>
        <v>280</v>
      </c>
      <c r="K328" s="127">
        <f t="shared" si="61"/>
        <v>90720</v>
      </c>
      <c r="L328" s="7">
        <f t="shared" si="62"/>
        <v>111.56012478955631</v>
      </c>
      <c r="M328" s="7">
        <f t="shared" si="63"/>
        <v>36145.480431816301</v>
      </c>
      <c r="N328" s="7">
        <f t="shared" si="64"/>
        <v>-199.3826024138601</v>
      </c>
      <c r="O328" s="7">
        <f t="shared" si="65"/>
        <v>-7266.6786816047788</v>
      </c>
    </row>
    <row r="329" spans="1:15" x14ac:dyDescent="0.2">
      <c r="A329">
        <f t="shared" si="58"/>
        <v>325</v>
      </c>
      <c r="B329" s="7">
        <f t="shared" si="59"/>
        <v>391.56012478955631</v>
      </c>
      <c r="C329" s="7">
        <f t="shared" si="55"/>
        <v>78.674005541118561</v>
      </c>
      <c r="D329" s="7">
        <f t="shared" si="56"/>
        <v>312.88611924843781</v>
      </c>
      <c r="E329" s="7">
        <f>SUM(C$5:C329)</f>
        <v>83531.995323936426</v>
      </c>
      <c r="F329" s="7">
        <f>SUM(D$5:D329)</f>
        <v>43725.045232669458</v>
      </c>
      <c r="G329" s="7">
        <f>$D$1-'Amort Schedule - Investor'!F329</f>
        <v>12274.954767330542</v>
      </c>
      <c r="H329" s="11">
        <f t="shared" si="57"/>
        <v>0.21919562084518826</v>
      </c>
      <c r="J329" s="127">
        <f t="shared" si="60"/>
        <v>280</v>
      </c>
      <c r="K329" s="127">
        <f t="shared" si="61"/>
        <v>91000</v>
      </c>
      <c r="L329" s="7">
        <f t="shared" si="62"/>
        <v>111.56012478955631</v>
      </c>
      <c r="M329" s="7">
        <f t="shared" si="63"/>
        <v>36257.040556605854</v>
      </c>
      <c r="N329" s="7">
        <f t="shared" si="64"/>
        <v>-201.32599445888144</v>
      </c>
      <c r="O329" s="7">
        <f t="shared" si="65"/>
        <v>-7468.0046760636606</v>
      </c>
    </row>
    <row r="330" spans="1:15" x14ac:dyDescent="0.2">
      <c r="A330">
        <f t="shared" si="58"/>
        <v>326</v>
      </c>
      <c r="B330" s="7">
        <f t="shared" si="59"/>
        <v>391.56012478955631</v>
      </c>
      <c r="C330" s="7">
        <f t="shared" si="55"/>
        <v>76.718467295815827</v>
      </c>
      <c r="D330" s="7">
        <f t="shared" si="56"/>
        <v>314.84165749374051</v>
      </c>
      <c r="E330" s="7">
        <f>SUM(C$5:C330)</f>
        <v>83608.713791232236</v>
      </c>
      <c r="F330" s="7">
        <f>SUM(D$5:D330)</f>
        <v>44039.886890163201</v>
      </c>
      <c r="G330" s="7">
        <f>$D$1-'Amort Schedule - Investor'!F330</f>
        <v>11960.113109836799</v>
      </c>
      <c r="H330" s="11">
        <f t="shared" si="57"/>
        <v>0.21357344838994283</v>
      </c>
      <c r="J330" s="127">
        <f t="shared" si="60"/>
        <v>280</v>
      </c>
      <c r="K330" s="127">
        <f t="shared" si="61"/>
        <v>91280</v>
      </c>
      <c r="L330" s="7">
        <f t="shared" si="62"/>
        <v>111.56012478955631</v>
      </c>
      <c r="M330" s="7">
        <f t="shared" si="63"/>
        <v>36368.600681395408</v>
      </c>
      <c r="N330" s="7">
        <f t="shared" si="64"/>
        <v>-203.28153270418417</v>
      </c>
      <c r="O330" s="7">
        <f t="shared" si="65"/>
        <v>-7671.286208767845</v>
      </c>
    </row>
    <row r="331" spans="1:15" x14ac:dyDescent="0.2">
      <c r="A331">
        <f t="shared" si="58"/>
        <v>327</v>
      </c>
      <c r="B331" s="7">
        <f t="shared" si="59"/>
        <v>391.56012478955631</v>
      </c>
      <c r="C331" s="7">
        <f t="shared" si="55"/>
        <v>74.750706936479943</v>
      </c>
      <c r="D331" s="7">
        <f t="shared" si="56"/>
        <v>316.80941785307641</v>
      </c>
      <c r="E331" s="7">
        <f>SUM(C$5:C331)</f>
        <v>83683.464498168716</v>
      </c>
      <c r="F331" s="7">
        <f>SUM(D$5:D331)</f>
        <v>44356.696308016275</v>
      </c>
      <c r="G331" s="7">
        <f>$D$1-'Amort Schedule - Investor'!F331</f>
        <v>11643.303691983725</v>
      </c>
      <c r="H331" s="11">
        <f t="shared" si="57"/>
        <v>0.20791613735685224</v>
      </c>
      <c r="J331" s="127">
        <f t="shared" si="60"/>
        <v>280</v>
      </c>
      <c r="K331" s="127">
        <f t="shared" si="61"/>
        <v>91560</v>
      </c>
      <c r="L331" s="7">
        <f t="shared" si="62"/>
        <v>111.56012478955631</v>
      </c>
      <c r="M331" s="7">
        <f t="shared" si="63"/>
        <v>36480.160806184962</v>
      </c>
      <c r="N331" s="7">
        <f t="shared" si="64"/>
        <v>-205.24929306352004</v>
      </c>
      <c r="O331" s="7">
        <f t="shared" si="65"/>
        <v>-7876.5355018313649</v>
      </c>
    </row>
    <row r="332" spans="1:15" x14ac:dyDescent="0.2">
      <c r="A332">
        <f t="shared" si="58"/>
        <v>328</v>
      </c>
      <c r="B332" s="7">
        <f t="shared" si="59"/>
        <v>391.56012478955631</v>
      </c>
      <c r="C332" s="7">
        <f t="shared" si="55"/>
        <v>72.770648074898219</v>
      </c>
      <c r="D332" s="7">
        <f t="shared" si="56"/>
        <v>318.78947671465812</v>
      </c>
      <c r="E332" s="7">
        <f>SUM(C$5:C332)</f>
        <v>83756.23514624362</v>
      </c>
      <c r="F332" s="7">
        <f>SUM(D$5:D332)</f>
        <v>44675.485784730932</v>
      </c>
      <c r="G332" s="7">
        <f>$D$1-'Amort Schedule - Investor'!F332</f>
        <v>11324.514215269068</v>
      </c>
      <c r="H332" s="11">
        <f t="shared" si="57"/>
        <v>0.2022234681298048</v>
      </c>
      <c r="J332" s="127">
        <f t="shared" si="60"/>
        <v>280</v>
      </c>
      <c r="K332" s="127">
        <f t="shared" si="61"/>
        <v>91840</v>
      </c>
      <c r="L332" s="7">
        <f t="shared" si="62"/>
        <v>111.56012478955631</v>
      </c>
      <c r="M332" s="7">
        <f t="shared" si="63"/>
        <v>36591.720930974516</v>
      </c>
      <c r="N332" s="7">
        <f t="shared" si="64"/>
        <v>-207.22935192510178</v>
      </c>
      <c r="O332" s="7">
        <f t="shared" si="65"/>
        <v>-8083.7648537564664</v>
      </c>
    </row>
    <row r="333" spans="1:15" x14ac:dyDescent="0.2">
      <c r="A333">
        <f t="shared" si="58"/>
        <v>329</v>
      </c>
      <c r="B333" s="7">
        <f t="shared" si="59"/>
        <v>391.56012478955631</v>
      </c>
      <c r="C333" s="7">
        <f t="shared" si="55"/>
        <v>70.778213845431594</v>
      </c>
      <c r="D333" s="7">
        <f t="shared" si="56"/>
        <v>320.78191094412472</v>
      </c>
      <c r="E333" s="7">
        <f>SUM(C$5:C333)</f>
        <v>83827.013360089055</v>
      </c>
      <c r="F333" s="7">
        <f>SUM(D$5:D333)</f>
        <v>44996.267695675058</v>
      </c>
      <c r="G333" s="7">
        <f>$D$1-'Amort Schedule - Investor'!F333</f>
        <v>11003.732304324942</v>
      </c>
      <c r="H333" s="11">
        <f t="shared" si="57"/>
        <v>0.19649521972008824</v>
      </c>
      <c r="J333" s="127">
        <f t="shared" si="60"/>
        <v>280</v>
      </c>
      <c r="K333" s="127">
        <f t="shared" si="61"/>
        <v>92120</v>
      </c>
      <c r="L333" s="7">
        <f t="shared" si="62"/>
        <v>111.56012478955631</v>
      </c>
      <c r="M333" s="7">
        <f t="shared" si="63"/>
        <v>36703.28105576407</v>
      </c>
      <c r="N333" s="7">
        <f t="shared" si="64"/>
        <v>-209.22178615456841</v>
      </c>
      <c r="O333" s="7">
        <f t="shared" si="65"/>
        <v>-8292.9866399110342</v>
      </c>
    </row>
    <row r="334" spans="1:15" x14ac:dyDescent="0.2">
      <c r="A334">
        <f t="shared" si="58"/>
        <v>330</v>
      </c>
      <c r="B334" s="7">
        <f t="shared" si="59"/>
        <v>391.56012478955631</v>
      </c>
      <c r="C334" s="7">
        <f t="shared" si="55"/>
        <v>68.773326902030831</v>
      </c>
      <c r="D334" s="7">
        <f t="shared" si="56"/>
        <v>322.78679788752549</v>
      </c>
      <c r="E334" s="7">
        <f>SUM(C$5:C334)</f>
        <v>83895.786686991079</v>
      </c>
      <c r="F334" s="7">
        <f>SUM(D$5:D334)</f>
        <v>45319.05449356258</v>
      </c>
      <c r="G334" s="7">
        <f>$D$1-'Amort Schedule - Investor'!F334</f>
        <v>10680.94550643742</v>
      </c>
      <c r="H334" s="11">
        <f t="shared" si="57"/>
        <v>0.19073116975781107</v>
      </c>
      <c r="J334" s="127">
        <f t="shared" si="60"/>
        <v>280</v>
      </c>
      <c r="K334" s="127">
        <f t="shared" si="61"/>
        <v>92400</v>
      </c>
      <c r="L334" s="7">
        <f t="shared" si="62"/>
        <v>111.56012478955631</v>
      </c>
      <c r="M334" s="7">
        <f t="shared" si="63"/>
        <v>36814.841180553623</v>
      </c>
      <c r="N334" s="7">
        <f t="shared" si="64"/>
        <v>-211.22667309796918</v>
      </c>
      <c r="O334" s="7">
        <f t="shared" si="65"/>
        <v>-8504.2133130090042</v>
      </c>
    </row>
    <row r="335" spans="1:15" x14ac:dyDescent="0.2">
      <c r="A335">
        <f t="shared" si="58"/>
        <v>331</v>
      </c>
      <c r="B335" s="7">
        <f t="shared" si="59"/>
        <v>391.56012478955631</v>
      </c>
      <c r="C335" s="7">
        <f t="shared" si="55"/>
        <v>66.755909415233788</v>
      </c>
      <c r="D335" s="7">
        <f t="shared" si="56"/>
        <v>324.8042153743225</v>
      </c>
      <c r="E335" s="7">
        <f>SUM(C$5:C335)</f>
        <v>83962.542596406318</v>
      </c>
      <c r="F335" s="7">
        <f>SUM(D$5:D335)</f>
        <v>45643.858708936903</v>
      </c>
      <c r="G335" s="7">
        <f>$D$1-'Amort Schedule - Investor'!F335</f>
        <v>10356.141291063097</v>
      </c>
      <c r="H335" s="11">
        <f t="shared" si="57"/>
        <v>0.18493109448326958</v>
      </c>
      <c r="J335" s="127">
        <f t="shared" si="60"/>
        <v>280</v>
      </c>
      <c r="K335" s="127">
        <f t="shared" si="61"/>
        <v>92680</v>
      </c>
      <c r="L335" s="7">
        <f t="shared" si="62"/>
        <v>111.56012478955631</v>
      </c>
      <c r="M335" s="7">
        <f t="shared" si="63"/>
        <v>36926.401305343177</v>
      </c>
      <c r="N335" s="7">
        <f t="shared" si="64"/>
        <v>-213.24409058476621</v>
      </c>
      <c r="O335" s="7">
        <f t="shared" si="65"/>
        <v>-8717.4574035937712</v>
      </c>
    </row>
    <row r="336" spans="1:15" x14ac:dyDescent="0.2">
      <c r="A336">
        <f t="shared" si="58"/>
        <v>332</v>
      </c>
      <c r="B336" s="7">
        <f t="shared" si="59"/>
        <v>391.56012478955631</v>
      </c>
      <c r="C336" s="7">
        <f t="shared" si="55"/>
        <v>64.725883069144288</v>
      </c>
      <c r="D336" s="7">
        <f t="shared" si="56"/>
        <v>326.83424172041208</v>
      </c>
      <c r="E336" s="7">
        <f>SUM(C$5:C336)</f>
        <v>84027.26847947546</v>
      </c>
      <c r="F336" s="7">
        <f>SUM(D$5:D336)</f>
        <v>45970.692950657314</v>
      </c>
      <c r="G336" s="7">
        <f>$D$1-'Amort Schedule - Investor'!F336</f>
        <v>10029.307049342686</v>
      </c>
      <c r="H336" s="11">
        <f t="shared" si="57"/>
        <v>0.17909476873826224</v>
      </c>
      <c r="J336" s="127">
        <f t="shared" si="60"/>
        <v>280</v>
      </c>
      <c r="K336" s="127">
        <f t="shared" si="61"/>
        <v>92960</v>
      </c>
      <c r="L336" s="7">
        <f t="shared" si="62"/>
        <v>111.56012478955631</v>
      </c>
      <c r="M336" s="7">
        <f t="shared" si="63"/>
        <v>37037.961430132731</v>
      </c>
      <c r="N336" s="7">
        <f t="shared" si="64"/>
        <v>-215.27411693085571</v>
      </c>
      <c r="O336" s="7">
        <f t="shared" si="65"/>
        <v>-8932.7315205246268</v>
      </c>
    </row>
    <row r="337" spans="1:15" x14ac:dyDescent="0.2">
      <c r="A337">
        <f t="shared" si="58"/>
        <v>333</v>
      </c>
      <c r="B337" s="7">
        <f t="shared" si="59"/>
        <v>391.56012478955631</v>
      </c>
      <c r="C337" s="7">
        <f t="shared" si="55"/>
        <v>62.683169058391691</v>
      </c>
      <c r="D337" s="7">
        <f t="shared" si="56"/>
        <v>328.87695573116463</v>
      </c>
      <c r="E337" s="7">
        <f>SUM(C$5:C337)</f>
        <v>84089.951648533854</v>
      </c>
      <c r="F337" s="7">
        <f>SUM(D$5:D337)</f>
        <v>46299.569906388482</v>
      </c>
      <c r="G337" s="7">
        <f>$D$1-'Amort Schedule - Investor'!F337</f>
        <v>9700.4300936115178</v>
      </c>
      <c r="H337" s="11">
        <f t="shared" si="57"/>
        <v>0.17322196595734854</v>
      </c>
      <c r="J337" s="127">
        <f t="shared" si="60"/>
        <v>280</v>
      </c>
      <c r="K337" s="127">
        <f t="shared" si="61"/>
        <v>93240</v>
      </c>
      <c r="L337" s="7">
        <f t="shared" si="62"/>
        <v>111.56012478955631</v>
      </c>
      <c r="M337" s="7">
        <f t="shared" si="63"/>
        <v>37149.521554922285</v>
      </c>
      <c r="N337" s="7">
        <f t="shared" si="64"/>
        <v>-217.31683094160832</v>
      </c>
      <c r="O337" s="7">
        <f t="shared" si="65"/>
        <v>-9150.0483514662355</v>
      </c>
    </row>
    <row r="338" spans="1:15" x14ac:dyDescent="0.2">
      <c r="A338">
        <f t="shared" si="58"/>
        <v>334</v>
      </c>
      <c r="B338" s="7">
        <f t="shared" si="59"/>
        <v>391.56012478955631</v>
      </c>
      <c r="C338" s="7">
        <f t="shared" si="55"/>
        <v>60.627688085071924</v>
      </c>
      <c r="D338" s="7">
        <f t="shared" si="56"/>
        <v>330.93243670448442</v>
      </c>
      <c r="E338" s="7">
        <f>SUM(C$5:C338)</f>
        <v>84150.579336618932</v>
      </c>
      <c r="F338" s="7">
        <f>SUM(D$5:D338)</f>
        <v>46630.502343092965</v>
      </c>
      <c r="G338" s="7">
        <f>$D$1-'Amort Schedule - Investor'!F338</f>
        <v>9369.497656907035</v>
      </c>
      <c r="H338" s="11">
        <f t="shared" si="57"/>
        <v>0.16731245815905418</v>
      </c>
      <c r="J338" s="127">
        <f t="shared" si="60"/>
        <v>280</v>
      </c>
      <c r="K338" s="127">
        <f t="shared" si="61"/>
        <v>93520</v>
      </c>
      <c r="L338" s="7">
        <f t="shared" si="62"/>
        <v>111.56012478955631</v>
      </c>
      <c r="M338" s="7">
        <f t="shared" si="63"/>
        <v>37261.081679711839</v>
      </c>
      <c r="N338" s="7">
        <f t="shared" si="64"/>
        <v>-219.37231191492808</v>
      </c>
      <c r="O338" s="7">
        <f t="shared" si="65"/>
        <v>-9369.4206633811627</v>
      </c>
    </row>
    <row r="339" spans="1:15" x14ac:dyDescent="0.2">
      <c r="A339">
        <f t="shared" si="58"/>
        <v>335</v>
      </c>
      <c r="B339" s="7">
        <f t="shared" si="59"/>
        <v>391.56012478955631</v>
      </c>
      <c r="C339" s="7">
        <f t="shared" si="55"/>
        <v>58.559360355668893</v>
      </c>
      <c r="D339" s="7">
        <f t="shared" si="56"/>
        <v>333.00076443388741</v>
      </c>
      <c r="E339" s="7">
        <f>SUM(C$5:C339)</f>
        <v>84209.138696974594</v>
      </c>
      <c r="F339" s="7">
        <f>SUM(D$5:D339)</f>
        <v>46963.503107526849</v>
      </c>
      <c r="G339" s="7">
        <f>$D$1-'Amort Schedule - Investor'!F339</f>
        <v>9036.4968924731511</v>
      </c>
      <c r="H339" s="11">
        <f t="shared" si="57"/>
        <v>0.16136601593702055</v>
      </c>
      <c r="J339" s="127">
        <f t="shared" si="60"/>
        <v>280</v>
      </c>
      <c r="K339" s="127">
        <f t="shared" si="61"/>
        <v>93800</v>
      </c>
      <c r="L339" s="7">
        <f t="shared" si="62"/>
        <v>111.56012478955631</v>
      </c>
      <c r="M339" s="7">
        <f t="shared" si="63"/>
        <v>37372.641804501392</v>
      </c>
      <c r="N339" s="7">
        <f t="shared" si="64"/>
        <v>-221.4406396443311</v>
      </c>
      <c r="O339" s="7">
        <f t="shared" si="65"/>
        <v>-9590.8613030254946</v>
      </c>
    </row>
    <row r="340" spans="1:15" s="6" customFormat="1" x14ac:dyDescent="0.2">
      <c r="A340" s="6">
        <f t="shared" si="58"/>
        <v>336</v>
      </c>
      <c r="B340" s="128">
        <f t="shared" si="59"/>
        <v>391.56012478955631</v>
      </c>
      <c r="C340" s="128">
        <f t="shared" si="55"/>
        <v>56.478105577957102</v>
      </c>
      <c r="D340" s="128">
        <f t="shared" si="56"/>
        <v>335.08201921159923</v>
      </c>
      <c r="E340" s="128">
        <f>SUM(C$5:C340)</f>
        <v>84265.616802552555</v>
      </c>
      <c r="F340" s="128">
        <f>SUM(D$5:D340)</f>
        <v>47298.58512673845</v>
      </c>
      <c r="G340" s="128">
        <f>$D$1-'Amort Schedule - Investor'!F340</f>
        <v>8701.4148732615504</v>
      </c>
      <c r="H340" s="124">
        <f t="shared" si="57"/>
        <v>0.1553824084510991</v>
      </c>
      <c r="J340" s="127">
        <f t="shared" si="60"/>
        <v>280</v>
      </c>
      <c r="K340" s="127">
        <f t="shared" si="61"/>
        <v>94080</v>
      </c>
      <c r="L340" s="7">
        <f t="shared" si="62"/>
        <v>111.56012478955631</v>
      </c>
      <c r="M340" s="7">
        <f t="shared" si="63"/>
        <v>37484.201929290946</v>
      </c>
      <c r="N340" s="7">
        <f t="shared" si="64"/>
        <v>-223.52189442204289</v>
      </c>
      <c r="O340" s="7">
        <f t="shared" si="65"/>
        <v>-9814.3831974475379</v>
      </c>
    </row>
    <row r="341" spans="1:15" x14ac:dyDescent="0.2">
      <c r="A341">
        <f t="shared" si="58"/>
        <v>337</v>
      </c>
      <c r="B341" s="7">
        <f t="shared" si="59"/>
        <v>391.56012478955631</v>
      </c>
      <c r="C341" s="7">
        <f t="shared" si="55"/>
        <v>54.383842957884603</v>
      </c>
      <c r="D341" s="7">
        <f t="shared" si="56"/>
        <v>337.17628183167176</v>
      </c>
      <c r="E341" s="7">
        <f>SUM(C$5:C341)</f>
        <v>84320.000645510445</v>
      </c>
      <c r="F341" s="7">
        <f>SUM(D$5:D341)</f>
        <v>47635.761408570121</v>
      </c>
      <c r="G341" s="7">
        <f>$D$1-'Amort Schedule - Investor'!F341</f>
        <v>8364.2385914298793</v>
      </c>
      <c r="H341" s="11">
        <f t="shared" si="57"/>
        <v>0.14936140341839071</v>
      </c>
      <c r="J341" s="127">
        <f t="shared" si="60"/>
        <v>280</v>
      </c>
      <c r="K341" s="127">
        <f t="shared" si="61"/>
        <v>94360</v>
      </c>
      <c r="L341" s="7">
        <f t="shared" si="62"/>
        <v>111.56012478955631</v>
      </c>
      <c r="M341" s="7">
        <f t="shared" si="63"/>
        <v>37595.7620540805</v>
      </c>
      <c r="N341" s="7">
        <f t="shared" si="64"/>
        <v>-225.61615704211539</v>
      </c>
      <c r="O341" s="7">
        <f t="shared" si="65"/>
        <v>-10039.999354489653</v>
      </c>
    </row>
    <row r="342" spans="1:15" x14ac:dyDescent="0.2">
      <c r="A342">
        <f t="shared" si="58"/>
        <v>338</v>
      </c>
      <c r="B342" s="7">
        <f t="shared" si="59"/>
        <v>391.56012478955631</v>
      </c>
      <c r="C342" s="7">
        <f t="shared" si="55"/>
        <v>52.276491196436652</v>
      </c>
      <c r="D342" s="7">
        <f t="shared" si="56"/>
        <v>339.2836335931197</v>
      </c>
      <c r="E342" s="7">
        <f>SUM(C$5:C342)</f>
        <v>84372.277136706878</v>
      </c>
      <c r="F342" s="7">
        <f>SUM(D$5:D342)</f>
        <v>47975.045042163241</v>
      </c>
      <c r="G342" s="7">
        <f>$D$1-'Amort Schedule - Investor'!F342</f>
        <v>8024.9549578367587</v>
      </c>
      <c r="H342" s="11">
        <f t="shared" si="57"/>
        <v>0.14330276710422785</v>
      </c>
      <c r="J342" s="127">
        <f t="shared" si="60"/>
        <v>280</v>
      </c>
      <c r="K342" s="127">
        <f t="shared" si="61"/>
        <v>94640</v>
      </c>
      <c r="L342" s="7">
        <f t="shared" si="62"/>
        <v>111.56012478955631</v>
      </c>
      <c r="M342" s="7">
        <f t="shared" si="63"/>
        <v>37707.322178870054</v>
      </c>
      <c r="N342" s="7">
        <f t="shared" si="64"/>
        <v>-227.72350880356333</v>
      </c>
      <c r="O342" s="7">
        <f t="shared" si="65"/>
        <v>-10267.722863293217</v>
      </c>
    </row>
    <row r="343" spans="1:15" x14ac:dyDescent="0.2">
      <c r="A343">
        <f t="shared" si="58"/>
        <v>339</v>
      </c>
      <c r="B343" s="7">
        <f t="shared" si="59"/>
        <v>391.56012478955631</v>
      </c>
      <c r="C343" s="7">
        <f t="shared" si="55"/>
        <v>50.155968486479644</v>
      </c>
      <c r="D343" s="7">
        <f t="shared" si="56"/>
        <v>341.40415630307666</v>
      </c>
      <c r="E343" s="7">
        <f>SUM(C$5:C343)</f>
        <v>84422.433105193355</v>
      </c>
      <c r="F343" s="7">
        <f>SUM(D$5:D343)</f>
        <v>48316.449198466318</v>
      </c>
      <c r="G343" s="7">
        <f>$D$1-'Amort Schedule - Investor'!F343</f>
        <v>7683.5508015336818</v>
      </c>
      <c r="H343" s="11">
        <f t="shared" si="57"/>
        <v>0.13720626431310146</v>
      </c>
      <c r="J343" s="127">
        <f t="shared" si="60"/>
        <v>280</v>
      </c>
      <c r="K343" s="127">
        <f t="shared" si="61"/>
        <v>94920</v>
      </c>
      <c r="L343" s="7">
        <f t="shared" si="62"/>
        <v>111.56012478955631</v>
      </c>
      <c r="M343" s="7">
        <f t="shared" si="63"/>
        <v>37818.882303659608</v>
      </c>
      <c r="N343" s="7">
        <f t="shared" si="64"/>
        <v>-229.84403151352035</v>
      </c>
      <c r="O343" s="7">
        <f t="shared" si="65"/>
        <v>-10497.566894806736</v>
      </c>
    </row>
    <row r="344" spans="1:15" x14ac:dyDescent="0.2">
      <c r="A344">
        <f t="shared" si="58"/>
        <v>340</v>
      </c>
      <c r="B344" s="7">
        <f t="shared" si="59"/>
        <v>391.56012478955631</v>
      </c>
      <c r="C344" s="7">
        <f t="shared" si="55"/>
        <v>48.022192509585437</v>
      </c>
      <c r="D344" s="7">
        <f t="shared" si="56"/>
        <v>343.5379322799709</v>
      </c>
      <c r="E344" s="7">
        <f>SUM(C$5:C344)</f>
        <v>84470.455297702938</v>
      </c>
      <c r="F344" s="7">
        <f>SUM(D$5:D344)</f>
        <v>48659.987130746289</v>
      </c>
      <c r="G344" s="7">
        <f>$D$1-'Amort Schedule - Investor'!F344</f>
        <v>7340.012869253711</v>
      </c>
      <c r="H344" s="11">
        <f t="shared" si="57"/>
        <v>0.13107165837953055</v>
      </c>
      <c r="J344" s="127">
        <f t="shared" si="60"/>
        <v>280</v>
      </c>
      <c r="K344" s="127">
        <f t="shared" si="61"/>
        <v>95200</v>
      </c>
      <c r="L344" s="7">
        <f t="shared" si="62"/>
        <v>111.56012478955631</v>
      </c>
      <c r="M344" s="7">
        <f t="shared" si="63"/>
        <v>37930.442428449162</v>
      </c>
      <c r="N344" s="7">
        <f t="shared" si="64"/>
        <v>-231.97780749041456</v>
      </c>
      <c r="O344" s="7">
        <f t="shared" si="65"/>
        <v>-10729.544702297151</v>
      </c>
    </row>
    <row r="345" spans="1:15" x14ac:dyDescent="0.2">
      <c r="A345">
        <f t="shared" si="58"/>
        <v>341</v>
      </c>
      <c r="B345" s="7">
        <f t="shared" si="59"/>
        <v>391.56012478955631</v>
      </c>
      <c r="C345" s="7">
        <f t="shared" si="55"/>
        <v>45.87508043283561</v>
      </c>
      <c r="D345" s="7">
        <f t="shared" si="56"/>
        <v>345.68504435672071</v>
      </c>
      <c r="E345" s="7">
        <f>SUM(C$5:C345)</f>
        <v>84516.330378135768</v>
      </c>
      <c r="F345" s="7">
        <f>SUM(D$5:D345)</f>
        <v>49005.672175103013</v>
      </c>
      <c r="G345" s="7">
        <f>$D$1-'Amort Schedule - Investor'!F345</f>
        <v>6994.3278248969873</v>
      </c>
      <c r="H345" s="11">
        <f t="shared" si="57"/>
        <v>0.12489871115887477</v>
      </c>
      <c r="J345" s="127">
        <f t="shared" si="60"/>
        <v>280</v>
      </c>
      <c r="K345" s="127">
        <f t="shared" si="61"/>
        <v>95480</v>
      </c>
      <c r="L345" s="7">
        <f t="shared" si="62"/>
        <v>111.56012478955631</v>
      </c>
      <c r="M345" s="7">
        <f t="shared" si="63"/>
        <v>38042.002553238715</v>
      </c>
      <c r="N345" s="7">
        <f t="shared" si="64"/>
        <v>-234.1249195671644</v>
      </c>
      <c r="O345" s="7">
        <f t="shared" si="65"/>
        <v>-10963.669621864316</v>
      </c>
    </row>
    <row r="346" spans="1:15" x14ac:dyDescent="0.2">
      <c r="A346">
        <f t="shared" si="58"/>
        <v>342</v>
      </c>
      <c r="B346" s="7">
        <f t="shared" si="59"/>
        <v>391.56012478955631</v>
      </c>
      <c r="C346" s="7">
        <f t="shared" si="55"/>
        <v>43.714548905606101</v>
      </c>
      <c r="D346" s="7">
        <f t="shared" si="56"/>
        <v>347.84557588395018</v>
      </c>
      <c r="E346" s="7">
        <f>SUM(C$5:C346)</f>
        <v>84560.044927041381</v>
      </c>
      <c r="F346" s="7">
        <f>SUM(D$5:D346)</f>
        <v>49353.517750986961</v>
      </c>
      <c r="G346" s="7">
        <f>$D$1-'Amort Schedule - Investor'!F346</f>
        <v>6646.4822490130391</v>
      </c>
      <c r="H346" s="11">
        <f t="shared" si="57"/>
        <v>0.11868718301808999</v>
      </c>
      <c r="J346" s="127">
        <f t="shared" si="60"/>
        <v>280</v>
      </c>
      <c r="K346" s="127">
        <f t="shared" si="61"/>
        <v>95760</v>
      </c>
      <c r="L346" s="7">
        <f t="shared" si="62"/>
        <v>111.56012478955631</v>
      </c>
      <c r="M346" s="7">
        <f t="shared" si="63"/>
        <v>38153.562678028269</v>
      </c>
      <c r="N346" s="7">
        <f t="shared" si="64"/>
        <v>-236.28545109439389</v>
      </c>
      <c r="O346" s="7">
        <f t="shared" si="65"/>
        <v>-11199.95507295871</v>
      </c>
    </row>
    <row r="347" spans="1:15" x14ac:dyDescent="0.2">
      <c r="A347">
        <f t="shared" si="58"/>
        <v>343</v>
      </c>
      <c r="B347" s="7">
        <f t="shared" si="59"/>
        <v>391.56012478955631</v>
      </c>
      <c r="C347" s="7">
        <f t="shared" si="55"/>
        <v>41.540514056331418</v>
      </c>
      <c r="D347" s="7">
        <f t="shared" si="56"/>
        <v>350.01961073322491</v>
      </c>
      <c r="E347" s="7">
        <f>SUM(C$5:C347)</f>
        <v>84601.585441097719</v>
      </c>
      <c r="F347" s="7">
        <f>SUM(D$5:D347)</f>
        <v>49703.537361720184</v>
      </c>
      <c r="G347" s="7">
        <f>$D$1-'Amort Schedule - Investor'!F347</f>
        <v>6296.462638279816</v>
      </c>
      <c r="H347" s="11">
        <f t="shared" si="57"/>
        <v>0.11243683282642529</v>
      </c>
      <c r="J347" s="127">
        <f t="shared" si="60"/>
        <v>280</v>
      </c>
      <c r="K347" s="127">
        <f t="shared" si="61"/>
        <v>96040</v>
      </c>
      <c r="L347" s="7">
        <f t="shared" si="62"/>
        <v>111.56012478955631</v>
      </c>
      <c r="M347" s="7">
        <f t="shared" si="63"/>
        <v>38265.122802817823</v>
      </c>
      <c r="N347" s="7">
        <f t="shared" si="64"/>
        <v>-238.4594859436686</v>
      </c>
      <c r="O347" s="7">
        <f t="shared" si="65"/>
        <v>-11438.414558902379</v>
      </c>
    </row>
    <row r="348" spans="1:15" x14ac:dyDescent="0.2">
      <c r="A348">
        <f t="shared" si="58"/>
        <v>344</v>
      </c>
      <c r="B348" s="7">
        <f t="shared" si="59"/>
        <v>391.56012478955631</v>
      </c>
      <c r="C348" s="7">
        <f t="shared" si="55"/>
        <v>39.352891489248755</v>
      </c>
      <c r="D348" s="7">
        <f t="shared" si="56"/>
        <v>352.20723330030756</v>
      </c>
      <c r="E348" s="7">
        <f>SUM(C$5:C348)</f>
        <v>84640.938332586971</v>
      </c>
      <c r="F348" s="7">
        <f>SUM(D$5:D348)</f>
        <v>50055.744595020493</v>
      </c>
      <c r="G348" s="7">
        <f>$D$1-'Amort Schedule - Investor'!F348</f>
        <v>5944.2554049795071</v>
      </c>
      <c r="H348" s="11">
        <f t="shared" si="57"/>
        <v>0.10614741794606262</v>
      </c>
      <c r="J348" s="127">
        <f t="shared" si="60"/>
        <v>280</v>
      </c>
      <c r="K348" s="127">
        <f t="shared" si="61"/>
        <v>96320</v>
      </c>
      <c r="L348" s="7">
        <f t="shared" si="62"/>
        <v>111.56012478955631</v>
      </c>
      <c r="M348" s="7">
        <f t="shared" si="63"/>
        <v>38376.682927607377</v>
      </c>
      <c r="N348" s="7">
        <f t="shared" si="64"/>
        <v>-240.64710851075125</v>
      </c>
      <c r="O348" s="7">
        <f t="shared" si="65"/>
        <v>-11679.061667413131</v>
      </c>
    </row>
    <row r="349" spans="1:15" x14ac:dyDescent="0.2">
      <c r="A349">
        <f t="shared" si="58"/>
        <v>345</v>
      </c>
      <c r="B349" s="7">
        <f t="shared" si="59"/>
        <v>391.56012478955631</v>
      </c>
      <c r="C349" s="7">
        <f t="shared" si="55"/>
        <v>37.15159628112184</v>
      </c>
      <c r="D349" s="7">
        <f t="shared" si="56"/>
        <v>354.40852850843447</v>
      </c>
      <c r="E349" s="7">
        <f>SUM(C$5:C349)</f>
        <v>84678.089928868096</v>
      </c>
      <c r="F349" s="7">
        <f>SUM(D$5:D349)</f>
        <v>50410.153123528929</v>
      </c>
      <c r="G349" s="7">
        <f>$D$1-'Amort Schedule - Investor'!F349</f>
        <v>5589.8468764710706</v>
      </c>
      <c r="H349" s="11">
        <f t="shared" si="57"/>
        <v>9.9818694222697693E-2</v>
      </c>
      <c r="J349" s="127">
        <f t="shared" si="60"/>
        <v>280</v>
      </c>
      <c r="K349" s="127">
        <f t="shared" si="61"/>
        <v>96600</v>
      </c>
      <c r="L349" s="7">
        <f t="shared" si="62"/>
        <v>111.56012478955631</v>
      </c>
      <c r="M349" s="7">
        <f t="shared" si="63"/>
        <v>38488.243052396931</v>
      </c>
      <c r="N349" s="7">
        <f t="shared" si="64"/>
        <v>-242.84840371887816</v>
      </c>
      <c r="O349" s="7">
        <f t="shared" si="65"/>
        <v>-11921.910071132008</v>
      </c>
    </row>
    <row r="350" spans="1:15" x14ac:dyDescent="0.2">
      <c r="A350">
        <f t="shared" si="58"/>
        <v>346</v>
      </c>
      <c r="B350" s="7">
        <f t="shared" si="59"/>
        <v>391.56012478955631</v>
      </c>
      <c r="C350" s="7">
        <f t="shared" si="55"/>
        <v>34.936542977944121</v>
      </c>
      <c r="D350" s="7">
        <f t="shared" si="56"/>
        <v>356.62358181161215</v>
      </c>
      <c r="E350" s="7">
        <f>SUM(C$5:C350)</f>
        <v>84713.026471846038</v>
      </c>
      <c r="F350" s="7">
        <f>SUM(D$5:D350)</f>
        <v>50766.776705340541</v>
      </c>
      <c r="G350" s="7">
        <f>$D$1-'Amort Schedule - Investor'!F350</f>
        <v>5233.2232946594595</v>
      </c>
      <c r="H350" s="11">
        <f t="shared" si="57"/>
        <v>9.3450415976061782E-2</v>
      </c>
      <c r="J350" s="127">
        <f t="shared" si="60"/>
        <v>280</v>
      </c>
      <c r="K350" s="127">
        <f t="shared" si="61"/>
        <v>96880</v>
      </c>
      <c r="L350" s="7">
        <f t="shared" si="62"/>
        <v>111.56012478955631</v>
      </c>
      <c r="M350" s="7">
        <f t="shared" si="63"/>
        <v>38599.803177186484</v>
      </c>
      <c r="N350" s="7">
        <f t="shared" si="64"/>
        <v>-245.06345702205587</v>
      </c>
      <c r="O350" s="7">
        <f t="shared" si="65"/>
        <v>-12166.973528154063</v>
      </c>
    </row>
    <row r="351" spans="1:15" x14ac:dyDescent="0.2">
      <c r="A351">
        <f t="shared" si="58"/>
        <v>347</v>
      </c>
      <c r="B351" s="7">
        <f t="shared" si="59"/>
        <v>391.56012478955631</v>
      </c>
      <c r="C351" s="7">
        <f t="shared" si="55"/>
        <v>32.707645591621542</v>
      </c>
      <c r="D351" s="7">
        <f t="shared" si="56"/>
        <v>358.85247919793477</v>
      </c>
      <c r="E351" s="7">
        <f>SUM(C$5:C351)</f>
        <v>84745.734117437663</v>
      </c>
      <c r="F351" s="7">
        <f>SUM(D$5:D351)</f>
        <v>51125.629184538477</v>
      </c>
      <c r="G351" s="7">
        <f>$D$1-'Amort Schedule - Investor'!F351</f>
        <v>4874.3708154615233</v>
      </c>
      <c r="H351" s="11">
        <f t="shared" si="57"/>
        <v>8.7042335990384342E-2</v>
      </c>
      <c r="J351" s="127">
        <f t="shared" si="60"/>
        <v>280</v>
      </c>
      <c r="K351" s="127">
        <f t="shared" si="61"/>
        <v>97160</v>
      </c>
      <c r="L351" s="7">
        <f t="shared" si="62"/>
        <v>111.56012478955631</v>
      </c>
      <c r="M351" s="7">
        <f t="shared" si="63"/>
        <v>38711.363301976038</v>
      </c>
      <c r="N351" s="7">
        <f t="shared" si="64"/>
        <v>-247.29235440837846</v>
      </c>
      <c r="O351" s="7">
        <f t="shared" si="65"/>
        <v>-12414.265882562442</v>
      </c>
    </row>
    <row r="352" spans="1:15" s="6" customFormat="1" x14ac:dyDescent="0.2">
      <c r="A352" s="6">
        <f t="shared" si="58"/>
        <v>348</v>
      </c>
      <c r="B352" s="128">
        <f t="shared" si="59"/>
        <v>391.56012478955631</v>
      </c>
      <c r="C352" s="128">
        <f t="shared" si="55"/>
        <v>30.464817596634454</v>
      </c>
      <c r="D352" s="128">
        <f t="shared" si="56"/>
        <v>361.09530719292184</v>
      </c>
      <c r="E352" s="128">
        <f>SUM(C$5:C352)</f>
        <v>84776.198935034292</v>
      </c>
      <c r="F352" s="128">
        <f>SUM(D$5:D352)</f>
        <v>51486.724491731402</v>
      </c>
      <c r="G352" s="128">
        <f>$D$1-'Amort Schedule - Investor'!F352</f>
        <v>4513.2755082685981</v>
      </c>
      <c r="H352" s="124">
        <f t="shared" si="57"/>
        <v>8.0594205504796387E-2</v>
      </c>
      <c r="J352" s="127">
        <f t="shared" si="60"/>
        <v>280</v>
      </c>
      <c r="K352" s="127">
        <f t="shared" si="61"/>
        <v>97440</v>
      </c>
      <c r="L352" s="7">
        <f t="shared" si="62"/>
        <v>111.56012478955631</v>
      </c>
      <c r="M352" s="7">
        <f t="shared" si="63"/>
        <v>38822.923426765592</v>
      </c>
      <c r="N352" s="7">
        <f t="shared" si="64"/>
        <v>-249.53518240336555</v>
      </c>
      <c r="O352" s="7">
        <f t="shared" si="65"/>
        <v>-12663.801064965808</v>
      </c>
    </row>
    <row r="353" spans="1:15" x14ac:dyDescent="0.2">
      <c r="A353">
        <f t="shared" si="58"/>
        <v>349</v>
      </c>
      <c r="B353" s="7">
        <f t="shared" si="59"/>
        <v>391.56012478955631</v>
      </c>
      <c r="C353" s="7">
        <f t="shared" si="55"/>
        <v>28.207971926678695</v>
      </c>
      <c r="D353" s="7">
        <f t="shared" si="56"/>
        <v>363.35215286287763</v>
      </c>
      <c r="E353" s="7">
        <f>SUM(C$5:C353)</f>
        <v>84804.406906960969</v>
      </c>
      <c r="F353" s="7">
        <f>SUM(D$5:D353)</f>
        <v>51850.076644594279</v>
      </c>
      <c r="G353" s="7">
        <f>$D$1-'Amort Schedule - Investor'!F353</f>
        <v>4149.9233554057209</v>
      </c>
      <c r="H353" s="11">
        <f t="shared" si="57"/>
        <v>7.4105774203673591E-2</v>
      </c>
      <c r="J353" s="127">
        <f t="shared" si="60"/>
        <v>280</v>
      </c>
      <c r="K353" s="127">
        <f t="shared" si="61"/>
        <v>97720</v>
      </c>
      <c r="L353" s="7">
        <f t="shared" si="62"/>
        <v>111.56012478955631</v>
      </c>
      <c r="M353" s="7">
        <f t="shared" si="63"/>
        <v>38934.483551555146</v>
      </c>
      <c r="N353" s="7">
        <f t="shared" si="64"/>
        <v>-251.79202807332132</v>
      </c>
      <c r="O353" s="7">
        <f t="shared" si="65"/>
        <v>-12915.59309303913</v>
      </c>
    </row>
    <row r="354" spans="1:15" x14ac:dyDescent="0.2">
      <c r="A354">
        <f t="shared" si="58"/>
        <v>350</v>
      </c>
      <c r="B354" s="7">
        <f t="shared" si="59"/>
        <v>391.56012478955631</v>
      </c>
      <c r="C354" s="7">
        <f t="shared" si="55"/>
        <v>25.937020971285708</v>
      </c>
      <c r="D354" s="7">
        <f t="shared" si="56"/>
        <v>365.62310381827064</v>
      </c>
      <c r="E354" s="7">
        <f>SUM(C$5:C354)</f>
        <v>84830.343927932248</v>
      </c>
      <c r="F354" s="7">
        <f>SUM(D$5:D354)</f>
        <v>52215.699748412553</v>
      </c>
      <c r="G354" s="7">
        <f>$D$1-'Amort Schedule - Investor'!F354</f>
        <v>3784.3002515874468</v>
      </c>
      <c r="H354" s="11">
        <f t="shared" si="57"/>
        <v>6.7576790206918688E-2</v>
      </c>
      <c r="J354" s="127">
        <f t="shared" si="60"/>
        <v>280</v>
      </c>
      <c r="K354" s="127">
        <f t="shared" si="61"/>
        <v>98000</v>
      </c>
      <c r="L354" s="7">
        <f t="shared" si="62"/>
        <v>111.56012478955631</v>
      </c>
      <c r="M354" s="7">
        <f t="shared" si="63"/>
        <v>39046.0436763447</v>
      </c>
      <c r="N354" s="7">
        <f t="shared" si="64"/>
        <v>-254.0629790287143</v>
      </c>
      <c r="O354" s="7">
        <f t="shared" si="65"/>
        <v>-13169.656072067844</v>
      </c>
    </row>
    <row r="355" spans="1:15" x14ac:dyDescent="0.2">
      <c r="A355">
        <f t="shared" si="58"/>
        <v>351</v>
      </c>
      <c r="B355" s="7">
        <f t="shared" si="59"/>
        <v>391.56012478955631</v>
      </c>
      <c r="C355" s="7">
        <f t="shared" si="55"/>
        <v>23.651876572421518</v>
      </c>
      <c r="D355" s="7">
        <f t="shared" si="56"/>
        <v>367.90824821713477</v>
      </c>
      <c r="E355" s="7">
        <f>SUM(C$5:C355)</f>
        <v>84853.995804504666</v>
      </c>
      <c r="F355" s="7">
        <f>SUM(D$5:D355)</f>
        <v>52583.607996629689</v>
      </c>
      <c r="G355" s="7">
        <f>$D$1-'Amort Schedule - Investor'!F355</f>
        <v>3416.3920033703107</v>
      </c>
      <c r="H355" s="11">
        <f t="shared" si="57"/>
        <v>6.100700006018412E-2</v>
      </c>
      <c r="J355" s="127">
        <f t="shared" si="60"/>
        <v>280</v>
      </c>
      <c r="K355" s="127">
        <f t="shared" si="61"/>
        <v>98280</v>
      </c>
      <c r="L355" s="7">
        <f t="shared" si="62"/>
        <v>111.56012478955631</v>
      </c>
      <c r="M355" s="7">
        <f t="shared" si="63"/>
        <v>39157.603801134253</v>
      </c>
      <c r="N355" s="7">
        <f t="shared" si="64"/>
        <v>-256.34812342757846</v>
      </c>
      <c r="O355" s="7">
        <f t="shared" si="65"/>
        <v>-13426.004195495423</v>
      </c>
    </row>
    <row r="356" spans="1:15" x14ac:dyDescent="0.2">
      <c r="A356">
        <f t="shared" si="58"/>
        <v>352</v>
      </c>
      <c r="B356" s="7">
        <f t="shared" si="59"/>
        <v>391.56012478955631</v>
      </c>
      <c r="C356" s="7">
        <f t="shared" si="55"/>
        <v>21.352450021064424</v>
      </c>
      <c r="D356" s="7">
        <f t="shared" si="56"/>
        <v>370.20767476849187</v>
      </c>
      <c r="E356" s="7">
        <f>SUM(C$5:C356)</f>
        <v>84875.348254525728</v>
      </c>
      <c r="F356" s="7">
        <f>SUM(D$5:D356)</f>
        <v>52953.815671398181</v>
      </c>
      <c r="G356" s="7">
        <f>$D$1-'Amort Schedule - Investor'!F356</f>
        <v>3046.1843286018193</v>
      </c>
      <c r="H356" s="11">
        <f t="shared" si="57"/>
        <v>5.4396148725032491E-2</v>
      </c>
      <c r="J356" s="127">
        <f t="shared" si="60"/>
        <v>280</v>
      </c>
      <c r="K356" s="127">
        <f t="shared" si="61"/>
        <v>98560</v>
      </c>
      <c r="L356" s="7">
        <f t="shared" si="62"/>
        <v>111.56012478955631</v>
      </c>
      <c r="M356" s="7">
        <f t="shared" si="63"/>
        <v>39269.163925923807</v>
      </c>
      <c r="N356" s="7">
        <f t="shared" si="64"/>
        <v>-258.64754997893556</v>
      </c>
      <c r="O356" s="7">
        <f t="shared" si="65"/>
        <v>-13684.651745474359</v>
      </c>
    </row>
    <row r="357" spans="1:15" x14ac:dyDescent="0.2">
      <c r="A357">
        <f t="shared" si="58"/>
        <v>353</v>
      </c>
      <c r="B357" s="7">
        <f t="shared" si="59"/>
        <v>391.56012478955631</v>
      </c>
      <c r="C357" s="7">
        <f t="shared" si="55"/>
        <v>19.03865205376135</v>
      </c>
      <c r="D357" s="7">
        <f t="shared" si="56"/>
        <v>372.52147273579493</v>
      </c>
      <c r="E357" s="7">
        <f>SUM(C$5:C357)</f>
        <v>84894.386906579486</v>
      </c>
      <c r="F357" s="7">
        <f>SUM(D$5:D357)</f>
        <v>53326.337144133977</v>
      </c>
      <c r="G357" s="7">
        <f>$D$1-'Amort Schedule - Investor'!F357</f>
        <v>2673.6628558660232</v>
      </c>
      <c r="H357" s="11">
        <f t="shared" si="57"/>
        <v>4.774397956903613E-2</v>
      </c>
      <c r="J357" s="127">
        <f t="shared" si="60"/>
        <v>280</v>
      </c>
      <c r="K357" s="127">
        <f t="shared" si="61"/>
        <v>98840</v>
      </c>
      <c r="L357" s="7">
        <f t="shared" si="62"/>
        <v>111.56012478955631</v>
      </c>
      <c r="M357" s="7">
        <f t="shared" si="63"/>
        <v>39380.724050713361</v>
      </c>
      <c r="N357" s="7">
        <f t="shared" si="64"/>
        <v>-260.96134794623867</v>
      </c>
      <c r="O357" s="7">
        <f t="shared" si="65"/>
        <v>-13945.613093420598</v>
      </c>
    </row>
    <row r="358" spans="1:15" x14ac:dyDescent="0.2">
      <c r="A358">
        <f t="shared" si="58"/>
        <v>354</v>
      </c>
      <c r="B358" s="7">
        <f t="shared" si="59"/>
        <v>391.56012478955631</v>
      </c>
      <c r="C358" s="7">
        <f t="shared" si="55"/>
        <v>16.710392849162631</v>
      </c>
      <c r="D358" s="7">
        <f t="shared" si="56"/>
        <v>374.84973194039367</v>
      </c>
      <c r="E358" s="7">
        <f>SUM(C$5:C358)</f>
        <v>84911.097299428642</v>
      </c>
      <c r="F358" s="7">
        <f>SUM(D$5:D358)</f>
        <v>53701.186876074367</v>
      </c>
      <c r="G358" s="7">
        <f>$D$1-'Amort Schedule - Investor'!F358</f>
        <v>2298.8131239256327</v>
      </c>
      <c r="H358" s="11">
        <f t="shared" si="57"/>
        <v>4.1050234355814869E-2</v>
      </c>
      <c r="J358" s="127">
        <f t="shared" si="60"/>
        <v>280</v>
      </c>
      <c r="K358" s="127">
        <f t="shared" si="61"/>
        <v>99120</v>
      </c>
      <c r="L358" s="7">
        <f t="shared" si="62"/>
        <v>111.56012478955631</v>
      </c>
      <c r="M358" s="7">
        <f t="shared" si="63"/>
        <v>39492.284175502915</v>
      </c>
      <c r="N358" s="7">
        <f t="shared" si="64"/>
        <v>-263.28960715083736</v>
      </c>
      <c r="O358" s="7">
        <f t="shared" si="65"/>
        <v>-14208.902700571434</v>
      </c>
    </row>
    <row r="359" spans="1:15" x14ac:dyDescent="0.2">
      <c r="A359">
        <f t="shared" si="58"/>
        <v>355</v>
      </c>
      <c r="B359" s="7">
        <f t="shared" si="59"/>
        <v>391.56012478955631</v>
      </c>
      <c r="C359" s="7">
        <f t="shared" si="55"/>
        <v>14.367582024535173</v>
      </c>
      <c r="D359" s="7">
        <f t="shared" si="56"/>
        <v>377.19254276502119</v>
      </c>
      <c r="E359" s="7">
        <f>SUM(C$5:C359)</f>
        <v>84925.464881453183</v>
      </c>
      <c r="F359" s="7">
        <f>SUM(D$5:D359)</f>
        <v>54078.379418839388</v>
      </c>
      <c r="G359" s="7">
        <f>$D$1-'Amort Schedule - Investor'!F359</f>
        <v>1921.6205811606123</v>
      </c>
      <c r="H359" s="11">
        <f t="shared" si="57"/>
        <v>3.4314653235010935E-2</v>
      </c>
      <c r="J359" s="127">
        <f t="shared" si="60"/>
        <v>280</v>
      </c>
      <c r="K359" s="127">
        <f t="shared" si="61"/>
        <v>99400</v>
      </c>
      <c r="L359" s="7">
        <f t="shared" si="62"/>
        <v>111.56012478955631</v>
      </c>
      <c r="M359" s="7">
        <f t="shared" si="63"/>
        <v>39603.844300292469</v>
      </c>
      <c r="N359" s="7">
        <f t="shared" si="64"/>
        <v>-265.63241797546482</v>
      </c>
      <c r="O359" s="7">
        <f t="shared" si="65"/>
        <v>-14474.535118546899</v>
      </c>
    </row>
    <row r="360" spans="1:15" x14ac:dyDescent="0.2">
      <c r="A360">
        <f t="shared" si="58"/>
        <v>356</v>
      </c>
      <c r="B360" s="7">
        <f t="shared" si="59"/>
        <v>391.56012478955631</v>
      </c>
      <c r="C360" s="7">
        <f t="shared" si="55"/>
        <v>12.010128632253791</v>
      </c>
      <c r="D360" s="7">
        <f t="shared" si="56"/>
        <v>379.54999615730253</v>
      </c>
      <c r="E360" s="7">
        <f>SUM(C$5:C360)</f>
        <v>84937.475010085444</v>
      </c>
      <c r="F360" s="7">
        <f>SUM(D$5:D360)</f>
        <v>54457.929414996688</v>
      </c>
      <c r="G360" s="7">
        <f>$D$1-'Amort Schedule - Investor'!F360</f>
        <v>1542.0705850033119</v>
      </c>
      <c r="H360" s="11">
        <f t="shared" si="57"/>
        <v>2.7536974732201999E-2</v>
      </c>
      <c r="J360" s="127">
        <f t="shared" si="60"/>
        <v>280</v>
      </c>
      <c r="K360" s="127">
        <f t="shared" si="61"/>
        <v>99680</v>
      </c>
      <c r="L360" s="7">
        <f t="shared" si="62"/>
        <v>111.56012478955631</v>
      </c>
      <c r="M360" s="7">
        <f t="shared" si="63"/>
        <v>39715.404425082022</v>
      </c>
      <c r="N360" s="7">
        <f t="shared" si="64"/>
        <v>-267.98987136774622</v>
      </c>
      <c r="O360" s="7">
        <f t="shared" si="65"/>
        <v>-14742.524989914646</v>
      </c>
    </row>
    <row r="361" spans="1:15" x14ac:dyDescent="0.2">
      <c r="A361">
        <f t="shared" si="58"/>
        <v>357</v>
      </c>
      <c r="B361" s="7">
        <f t="shared" si="59"/>
        <v>391.56012478955631</v>
      </c>
      <c r="C361" s="7">
        <f t="shared" si="55"/>
        <v>9.6379411562706512</v>
      </c>
      <c r="D361" s="7">
        <f t="shared" si="56"/>
        <v>381.92218363328567</v>
      </c>
      <c r="E361" s="7">
        <f>SUM(C$5:C361)</f>
        <v>84947.11295124171</v>
      </c>
      <c r="F361" s="7">
        <f>SUM(D$5:D361)</f>
        <v>54839.851598629975</v>
      </c>
      <c r="G361" s="7">
        <f>$D$1-'Amort Schedule - Investor'!F361</f>
        <v>1160.1484013700247</v>
      </c>
      <c r="H361" s="11">
        <f t="shared" si="57"/>
        <v>2.0716935738750442E-2</v>
      </c>
      <c r="J361" s="127">
        <f t="shared" si="60"/>
        <v>280</v>
      </c>
      <c r="K361" s="127">
        <f t="shared" si="61"/>
        <v>99960</v>
      </c>
      <c r="L361" s="7">
        <f t="shared" si="62"/>
        <v>111.56012478955631</v>
      </c>
      <c r="M361" s="7">
        <f t="shared" si="63"/>
        <v>39826.964549871576</v>
      </c>
      <c r="N361" s="7">
        <f t="shared" si="64"/>
        <v>-270.36205884372936</v>
      </c>
      <c r="O361" s="7">
        <f t="shared" si="65"/>
        <v>-15012.887048758375</v>
      </c>
    </row>
    <row r="362" spans="1:15" x14ac:dyDescent="0.2">
      <c r="A362">
        <f t="shared" si="58"/>
        <v>358</v>
      </c>
      <c r="B362" s="7">
        <f t="shared" si="59"/>
        <v>391.56012478955631</v>
      </c>
      <c r="C362" s="7">
        <f t="shared" si="55"/>
        <v>7.250927508562615</v>
      </c>
      <c r="D362" s="7">
        <f t="shared" si="56"/>
        <v>384.30919728099371</v>
      </c>
      <c r="E362" s="7">
        <f>SUM(C$5:C362)</f>
        <v>84954.363878750271</v>
      </c>
      <c r="F362" s="7">
        <f>SUM(D$5:D362)</f>
        <v>55224.160795910968</v>
      </c>
      <c r="G362" s="7">
        <f>$D$1-'Amort Schedule - Investor'!F362</f>
        <v>775.83920408903214</v>
      </c>
      <c r="H362" s="11">
        <f t="shared" si="57"/>
        <v>1.385427150158986E-2</v>
      </c>
      <c r="J362" s="127">
        <f t="shared" si="60"/>
        <v>280</v>
      </c>
      <c r="K362" s="127">
        <f t="shared" si="61"/>
        <v>100240</v>
      </c>
      <c r="L362" s="7">
        <f t="shared" si="62"/>
        <v>111.56012478955631</v>
      </c>
      <c r="M362" s="7">
        <f t="shared" si="63"/>
        <v>39938.52467466113</v>
      </c>
      <c r="N362" s="7">
        <f t="shared" si="64"/>
        <v>-272.7490724914374</v>
      </c>
      <c r="O362" s="7">
        <f t="shared" si="65"/>
        <v>-15285.636121249812</v>
      </c>
    </row>
    <row r="363" spans="1:15" x14ac:dyDescent="0.2">
      <c r="A363">
        <f t="shared" si="58"/>
        <v>359</v>
      </c>
      <c r="B363" s="7">
        <f t="shared" si="59"/>
        <v>391.56012478955631</v>
      </c>
      <c r="C363" s="7">
        <f t="shared" si="55"/>
        <v>4.8489950255564045</v>
      </c>
      <c r="D363" s="7">
        <f t="shared" si="56"/>
        <v>386.71112976399991</v>
      </c>
      <c r="E363" s="7">
        <f>SUM(C$5:C363)</f>
        <v>84959.212873775832</v>
      </c>
      <c r="F363" s="7">
        <f>SUM(D$5:D363)</f>
        <v>55610.871925674968</v>
      </c>
      <c r="G363" s="7">
        <f>$D$1-'Amort Schedule - Investor'!F363</f>
        <v>389.12807432503178</v>
      </c>
      <c r="H363" s="11">
        <f t="shared" si="57"/>
        <v>6.9487156129469964E-3</v>
      </c>
      <c r="J363" s="127">
        <f t="shared" si="60"/>
        <v>280</v>
      </c>
      <c r="K363" s="127">
        <f t="shared" si="61"/>
        <v>100520</v>
      </c>
      <c r="L363" s="7">
        <f t="shared" si="62"/>
        <v>111.56012478955631</v>
      </c>
      <c r="M363" s="7">
        <f t="shared" si="63"/>
        <v>40050.084799450684</v>
      </c>
      <c r="N363" s="7">
        <f t="shared" si="64"/>
        <v>-275.15100497444359</v>
      </c>
      <c r="O363" s="7">
        <f t="shared" si="65"/>
        <v>-15560.787126224255</v>
      </c>
    </row>
    <row r="364" spans="1:15" s="6" customFormat="1" x14ac:dyDescent="0.2">
      <c r="A364" s="6">
        <f t="shared" si="58"/>
        <v>360</v>
      </c>
      <c r="B364" s="128">
        <f t="shared" si="59"/>
        <v>391.56012478955631</v>
      </c>
      <c r="C364" s="128">
        <f t="shared" si="55"/>
        <v>2.4320504645314056</v>
      </c>
      <c r="D364" s="128">
        <f t="shared" si="56"/>
        <v>389.1280743250249</v>
      </c>
      <c r="E364" s="128">
        <f>SUM(C$5:C364)</f>
        <v>84961.644924240361</v>
      </c>
      <c r="F364" s="128">
        <f>SUM(D$5:D364)</f>
        <v>55999.999999999993</v>
      </c>
      <c r="G364" s="128">
        <f>$D$1-'Amort Schedule - Investor'!F364</f>
        <v>0</v>
      </c>
      <c r="H364" s="124">
        <f t="shared" si="57"/>
        <v>0</v>
      </c>
      <c r="J364" s="127">
        <f t="shared" si="60"/>
        <v>280</v>
      </c>
      <c r="K364" s="127">
        <f t="shared" si="61"/>
        <v>100800</v>
      </c>
      <c r="L364" s="7">
        <f t="shared" si="62"/>
        <v>111.56012478955631</v>
      </c>
      <c r="M364" s="7">
        <f t="shared" si="63"/>
        <v>40161.644924240238</v>
      </c>
      <c r="N364" s="7">
        <f t="shared" si="64"/>
        <v>-277.56794953546859</v>
      </c>
      <c r="O364" s="7">
        <f t="shared" si="65"/>
        <v>-15838.355075759724</v>
      </c>
    </row>
    <row r="366" spans="1:15" s="6" customFormat="1" x14ac:dyDescent="0.2">
      <c r="A366" s="6" t="s">
        <v>209</v>
      </c>
      <c r="B366" s="128">
        <f>SUM(B5:B365)</f>
        <v>140961.64492423998</v>
      </c>
      <c r="C366" s="128">
        <f t="shared" ref="C366:D366" si="66">SUM(C5:C365)</f>
        <v>84961.644924240361</v>
      </c>
      <c r="D366" s="128">
        <f t="shared" si="66"/>
        <v>55999.999999999993</v>
      </c>
      <c r="H366" s="124"/>
      <c r="J366" s="128">
        <f>SUM(J5:J365)</f>
        <v>100800</v>
      </c>
      <c r="K366" s="131">
        <f>K364</f>
        <v>100800</v>
      </c>
      <c r="L366" s="128">
        <f>SUM(L5:L365)</f>
        <v>40161.644924240238</v>
      </c>
      <c r="M366" s="128">
        <f>M364</f>
        <v>40161.644924240238</v>
      </c>
      <c r="N366" s="128">
        <f>SUM(N5:N365)</f>
        <v>-15838.355075759724</v>
      </c>
      <c r="O366" s="128">
        <f>O364</f>
        <v>-15838.355075759724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7BBAE-3A00-40DA-BE1C-7D020502B14A}">
  <sheetPr codeName="Sheet9"/>
  <dimension ref="A1:A9"/>
  <sheetViews>
    <sheetView workbookViewId="0">
      <selection activeCell="A10" sqref="A10"/>
    </sheetView>
  </sheetViews>
  <sheetFormatPr defaultRowHeight="12.75" x14ac:dyDescent="0.2"/>
  <sheetData>
    <row r="1" spans="1:1" x14ac:dyDescent="0.2">
      <c r="A1" s="129" t="s">
        <v>73</v>
      </c>
    </row>
    <row r="2" spans="1:1" x14ac:dyDescent="0.2">
      <c r="A2" s="129" t="s">
        <v>25</v>
      </c>
    </row>
    <row r="4" spans="1:1" x14ac:dyDescent="0.2">
      <c r="A4" s="196">
        <v>44743</v>
      </c>
    </row>
    <row r="6" spans="1:1" x14ac:dyDescent="0.2">
      <c r="A6" s="129" t="s">
        <v>6</v>
      </c>
    </row>
    <row r="7" spans="1:1" x14ac:dyDescent="0.2">
      <c r="A7" s="129" t="s">
        <v>210</v>
      </c>
    </row>
    <row r="8" spans="1:1" x14ac:dyDescent="0.2">
      <c r="A8" s="129" t="s">
        <v>211</v>
      </c>
    </row>
    <row r="9" spans="1:1" x14ac:dyDescent="0.2">
      <c r="A9" s="129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Data Entry</vt:lpstr>
      <vt:lpstr>Comps</vt:lpstr>
      <vt:lpstr>'Buy and Hold Rental'!Print_Area</vt:lpstr>
      <vt:lpstr>'Purchase &amp; Flip'!Print_Area</vt:lpstr>
      <vt:lpstr>'Sale to Retail Investor'!Print_Area</vt:lpstr>
      <vt:lpstr>Summary!Print_Area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 Evans</cp:lastModifiedBy>
  <cp:revision/>
  <dcterms:created xsi:type="dcterms:W3CDTF">2004-07-16T12:52:20Z</dcterms:created>
  <dcterms:modified xsi:type="dcterms:W3CDTF">2023-04-12T04:30:14Z</dcterms:modified>
  <cp:category/>
  <cp:contentStatus/>
</cp:coreProperties>
</file>